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120" windowWidth="29040" windowHeight="15840"/>
  </bookViews>
  <sheets>
    <sheet name="ВИТРАТИ 2026 тариф" sheetId="39" r:id="rId1"/>
    <sheet name="ЗАРОБІТНА_ПЛАТА" sheetId="30" r:id="rId2"/>
    <sheet name="СТРУКТУРА_ТАРИФУ 2026" sheetId="29" r:id="rId3"/>
    <sheet name="Маршр 2026 тариф  " sheetId="44" r:id="rId4"/>
    <sheet name="ПРОГНОЗ_ТАРИФИ 2026 " sheetId="28" r:id="rId5"/>
  </sheets>
  <calcPr calcId="144525"/>
</workbook>
</file>

<file path=xl/calcChain.xml><?xml version="1.0" encoding="utf-8"?>
<calcChain xmlns="http://schemas.openxmlformats.org/spreadsheetml/2006/main">
  <c r="H7" i="28" l="1"/>
  <c r="N17" i="39" l="1"/>
  <c r="I17" i="39"/>
  <c r="N16" i="39"/>
  <c r="I16" i="39"/>
  <c r="I31" i="39"/>
  <c r="M31" i="39"/>
  <c r="I27" i="39"/>
  <c r="M20" i="39"/>
  <c r="M19" i="39"/>
  <c r="M18" i="39"/>
  <c r="N15" i="39"/>
  <c r="I15" i="39"/>
  <c r="M14" i="39"/>
  <c r="M9" i="39"/>
  <c r="M13" i="39"/>
  <c r="M7" i="39"/>
  <c r="N31" i="39"/>
  <c r="I18" i="39"/>
  <c r="I13" i="39"/>
  <c r="I7" i="39"/>
  <c r="N13" i="39"/>
  <c r="N18" i="39"/>
  <c r="I14" i="39"/>
  <c r="N14" i="39"/>
  <c r="N11" i="39"/>
  <c r="N7" i="39"/>
  <c r="N10" i="39"/>
  <c r="I10" i="39"/>
  <c r="I9" i="39"/>
  <c r="N9" i="39"/>
  <c r="N8" i="39"/>
  <c r="I8" i="39"/>
  <c r="J37" i="39" l="1"/>
  <c r="J36" i="39"/>
  <c r="J35" i="39"/>
  <c r="J34" i="39"/>
  <c r="J33" i="39"/>
  <c r="J32" i="39"/>
  <c r="J31" i="39"/>
  <c r="J30" i="39"/>
  <c r="J29" i="39"/>
  <c r="J28" i="39"/>
  <c r="J27" i="39"/>
  <c r="J26" i="39"/>
  <c r="J25" i="39"/>
  <c r="J24" i="39"/>
  <c r="J23" i="39"/>
  <c r="J22" i="39"/>
  <c r="J21" i="39"/>
  <c r="J20" i="39"/>
  <c r="J19" i="39"/>
  <c r="J18" i="39"/>
  <c r="J17" i="39"/>
  <c r="J16" i="39"/>
  <c r="J15" i="39"/>
  <c r="J14" i="39"/>
  <c r="J13" i="39"/>
  <c r="J12" i="39"/>
  <c r="J11" i="39"/>
  <c r="J10" i="39"/>
  <c r="J9" i="39"/>
  <c r="J8" i="39"/>
  <c r="J7" i="39"/>
  <c r="N38" i="39"/>
  <c r="I34" i="39"/>
  <c r="N34" i="39"/>
  <c r="I37" i="39" l="1"/>
  <c r="I36" i="39"/>
  <c r="I35" i="39"/>
  <c r="I33" i="39"/>
  <c r="I32" i="39"/>
  <c r="I30" i="39"/>
  <c r="I29" i="39"/>
  <c r="I28" i="39"/>
  <c r="I26" i="39"/>
  <c r="I25" i="39"/>
  <c r="I24" i="39"/>
  <c r="I23" i="39"/>
  <c r="I22" i="39"/>
  <c r="I21" i="39"/>
  <c r="I11" i="39"/>
  <c r="N32" i="39"/>
  <c r="N37" i="39"/>
  <c r="N36" i="39"/>
  <c r="N35" i="39"/>
  <c r="N33" i="39"/>
  <c r="N30" i="39"/>
  <c r="N29" i="39"/>
  <c r="N28" i="39"/>
  <c r="N26" i="39"/>
  <c r="N25" i="39"/>
  <c r="N24" i="39"/>
  <c r="N23" i="39"/>
  <c r="N22" i="39"/>
  <c r="N21" i="39"/>
  <c r="M37" i="39"/>
  <c r="M36" i="39"/>
  <c r="M35" i="39"/>
  <c r="M34" i="39"/>
  <c r="M33" i="39"/>
  <c r="M32" i="39"/>
  <c r="M30" i="39"/>
  <c r="M29" i="39"/>
  <c r="M28" i="39"/>
  <c r="M26" i="39"/>
  <c r="M25" i="39"/>
  <c r="M24" i="39"/>
  <c r="M23" i="39"/>
  <c r="M22" i="39"/>
  <c r="M21" i="39"/>
  <c r="M12" i="39"/>
  <c r="M11" i="39"/>
  <c r="M10" i="39"/>
  <c r="M8" i="39"/>
  <c r="J38" i="39" l="1"/>
  <c r="I41" i="39" s="1"/>
  <c r="I38" i="39"/>
  <c r="I40" i="39" s="1"/>
  <c r="H36" i="29" l="1"/>
  <c r="G36" i="29"/>
  <c r="G11" i="30" l="1"/>
  <c r="H34" i="29" l="1"/>
  <c r="G34" i="29"/>
  <c r="H30" i="29"/>
  <c r="G30" i="29"/>
  <c r="H29" i="29"/>
  <c r="G29" i="29"/>
  <c r="H28" i="29"/>
  <c r="G28" i="29"/>
  <c r="F11" i="29"/>
  <c r="G10" i="30"/>
  <c r="F10" i="29" s="1"/>
  <c r="G9" i="30" l="1"/>
  <c r="F9" i="29" s="1"/>
  <c r="G8" i="30"/>
  <c r="F8" i="29" s="1"/>
  <c r="G7" i="30"/>
  <c r="F7" i="29" s="1"/>
  <c r="G6" i="30"/>
  <c r="F13" i="30"/>
  <c r="D13" i="30"/>
  <c r="H32" i="29"/>
  <c r="G32" i="29"/>
  <c r="F32" i="29"/>
  <c r="N13" i="29"/>
  <c r="N14" i="29" l="1"/>
  <c r="P13" i="29"/>
  <c r="O13" i="29"/>
  <c r="G13" i="30"/>
  <c r="H9" i="28"/>
  <c r="D9" i="28"/>
  <c r="E9" i="28" s="1"/>
  <c r="N15" i="29"/>
  <c r="F6" i="29"/>
  <c r="F13" i="29" s="1"/>
  <c r="P14" i="29" l="1"/>
  <c r="P15" i="29" s="1"/>
  <c r="O14" i="29"/>
  <c r="O15" i="29" s="1"/>
  <c r="F14" i="29"/>
  <c r="H13" i="29"/>
  <c r="G13" i="29"/>
  <c r="I9" i="28"/>
  <c r="F38" i="29" l="1"/>
  <c r="H14" i="29"/>
  <c r="H38" i="29" s="1"/>
  <c r="G14" i="29"/>
  <c r="G38" i="29" s="1"/>
  <c r="C10" i="28"/>
  <c r="G10" i="28" l="1"/>
  <c r="H8" i="28"/>
  <c r="I8" i="28" s="1"/>
  <c r="D8" i="28"/>
  <c r="E8" i="28" s="1"/>
  <c r="D7" i="28" l="1"/>
  <c r="E7" i="28" s="1"/>
  <c r="H10" i="28"/>
  <c r="I7" i="28" l="1"/>
  <c r="I10" i="28" s="1"/>
  <c r="E10" i="28"/>
  <c r="D10" i="28"/>
</calcChain>
</file>

<file path=xl/comments1.xml><?xml version="1.0" encoding="utf-8"?>
<comments xmlns="http://schemas.openxmlformats.org/spreadsheetml/2006/main">
  <authors>
    <author>Админ</author>
  </authors>
  <commentList>
    <comment ref="O5" authorId="0">
      <text>
        <r>
          <rPr>
            <b/>
            <sz val="9"/>
            <color indexed="81"/>
            <rFont val="Tahoma"/>
            <family val="2"/>
            <charset val="204"/>
          </rPr>
          <t>Админ:</t>
        </r>
        <r>
          <rPr>
            <sz val="9"/>
            <color indexed="81"/>
            <rFont val="Tahoma"/>
            <family val="2"/>
            <charset val="204"/>
          </rPr>
          <t xml:space="preserve">
</t>
        </r>
      </text>
    </comment>
  </commentList>
</comments>
</file>

<file path=xl/comments2.xml><?xml version="1.0" encoding="utf-8"?>
<comments xmlns="http://schemas.openxmlformats.org/spreadsheetml/2006/main">
  <authors>
    <author>Админ</author>
  </authors>
  <commentList>
    <comment ref="H5" authorId="0">
      <text>
        <r>
          <rPr>
            <b/>
            <sz val="9"/>
            <color indexed="81"/>
            <rFont val="Tahoma"/>
            <family val="2"/>
            <charset val="204"/>
          </rPr>
          <t>Админ:</t>
        </r>
        <r>
          <rPr>
            <sz val="9"/>
            <color indexed="81"/>
            <rFont val="Tahoma"/>
            <family val="2"/>
            <charset val="204"/>
          </rPr>
          <t xml:space="preserve">
</t>
        </r>
      </text>
    </comment>
    <comment ref="P5" authorId="0">
      <text>
        <r>
          <rPr>
            <b/>
            <sz val="9"/>
            <color indexed="81"/>
            <rFont val="Tahoma"/>
            <family val="2"/>
            <charset val="204"/>
          </rPr>
          <t>Админ:</t>
        </r>
        <r>
          <rPr>
            <sz val="9"/>
            <color indexed="81"/>
            <rFont val="Tahoma"/>
            <family val="2"/>
            <charset val="204"/>
          </rPr>
          <t xml:space="preserve">
</t>
        </r>
      </text>
    </comment>
    <comment ref="H27" authorId="0">
      <text>
        <r>
          <rPr>
            <b/>
            <sz val="9"/>
            <color indexed="81"/>
            <rFont val="Tahoma"/>
            <family val="2"/>
            <charset val="204"/>
          </rPr>
          <t>Админ:</t>
        </r>
        <r>
          <rPr>
            <sz val="9"/>
            <color indexed="81"/>
            <rFont val="Tahoma"/>
            <family val="2"/>
            <charset val="204"/>
          </rPr>
          <t xml:space="preserve">
</t>
        </r>
      </text>
    </comment>
  </commentList>
</comments>
</file>

<file path=xl/sharedStrings.xml><?xml version="1.0" encoding="utf-8"?>
<sst xmlns="http://schemas.openxmlformats.org/spreadsheetml/2006/main" count="304" uniqueCount="233">
  <si>
    <t>Обсяг відходів, куб.м./рік</t>
  </si>
  <si>
    <t>грн/1 куб. м</t>
  </si>
  <si>
    <t>грн/1 особу в рік</t>
  </si>
  <si>
    <t>грн/1 особу в місяць</t>
  </si>
  <si>
    <t xml:space="preserve">Збирання </t>
  </si>
  <si>
    <t>Перевезення</t>
  </si>
  <si>
    <t>Видалення (захоронення) за договором</t>
  </si>
  <si>
    <t>Середньозважений тариф на послугу з управління побутовими відходами</t>
  </si>
  <si>
    <t>Найменування показників</t>
  </si>
  <si>
    <t>№ п/п</t>
  </si>
  <si>
    <t>Посада</t>
  </si>
  <si>
    <t>К-сть ставок</t>
  </si>
  <si>
    <t>Фонд оплати праці на рік</t>
  </si>
  <si>
    <t>Возій з вивезення твердих побутових відходів</t>
  </si>
  <si>
    <t>Заробітна плата , що відноситься до прямих витрат</t>
  </si>
  <si>
    <t>РАЗОМ</t>
  </si>
  <si>
    <t>Відсоток збирання</t>
  </si>
  <si>
    <t>Відсоток перевезення</t>
  </si>
  <si>
    <t>ЄСВ 22%</t>
  </si>
  <si>
    <t>Фахівець з методів розширення збуту</t>
  </si>
  <si>
    <t>ВСЬОГО</t>
  </si>
  <si>
    <t>Заробітна плата , що відноситься до загальновиробничих  витрат</t>
  </si>
  <si>
    <t>Ремонт автотранспортних засобів</t>
  </si>
  <si>
    <t>Назва витрати</t>
  </si>
  <si>
    <t>Річна сума</t>
  </si>
  <si>
    <t>Автозапчастини</t>
  </si>
  <si>
    <t>Спецодяг</t>
  </si>
  <si>
    <t>Амортизація</t>
  </si>
  <si>
    <t>ПММ</t>
  </si>
  <si>
    <t>ВСЬОГО прямих витрат</t>
  </si>
  <si>
    <t>Фонд оплати праці на рік по дільниці Поводження з побутовими відходами</t>
  </si>
  <si>
    <t>Фонд оплати праці на рік по дільниці Виробництво</t>
  </si>
  <si>
    <t>організації</t>
  </si>
  <si>
    <t>населення</t>
  </si>
  <si>
    <t>Житлові багатоквартирні будинки</t>
  </si>
  <si>
    <t>Житлові будинки індивідуальної забудови з присадибною ділянкою</t>
  </si>
  <si>
    <t>Додаток 3</t>
  </si>
  <si>
    <t>до Додатку 33</t>
  </si>
  <si>
    <t>Примірна форма</t>
  </si>
  <si>
    <t>витрат на пально - мастильні матеріали</t>
  </si>
  <si>
    <t>обгрунтування</t>
  </si>
  <si>
    <t>зміст та характеристика витрат</t>
  </si>
  <si>
    <t>грн</t>
  </si>
  <si>
    <t>грн/м3</t>
  </si>
  <si>
    <t>Лінійні норми витрат автомобільного бензину,дизпалива автомобільного транспорту на 100км пробігу.Наказ Міністерства Транспорту України від 10.02.1998р.  №43</t>
  </si>
  <si>
    <t>ФОП</t>
  </si>
  <si>
    <t>Юридичні</t>
  </si>
  <si>
    <t>разом ПММ    грн/за рік</t>
  </si>
  <si>
    <t xml:space="preserve"> РАЗОМ  ПММ</t>
  </si>
  <si>
    <r>
      <t xml:space="preserve">Вартість тарифу на  послугу  з управління змішаними побутовими відходами та тарифів на операції збирання, перевезення та видалення (за договором) </t>
    </r>
    <r>
      <rPr>
        <b/>
        <u/>
        <sz val="12"/>
        <rFont val="Times New Roman"/>
        <family val="1"/>
        <charset val="204"/>
      </rPr>
      <t>змішаних побутових відходів для споживачів з ПДВ</t>
    </r>
  </si>
  <si>
    <t>2,1 м. куб</t>
  </si>
  <si>
    <t>2,1 м. куб/рік</t>
  </si>
  <si>
    <t>0,175 м.куб/місяць</t>
  </si>
  <si>
    <t>2,08 м. куб</t>
  </si>
  <si>
    <t>2,08 м. куб/рік</t>
  </si>
  <si>
    <t>0,1733                   м. куб /місяць</t>
  </si>
  <si>
    <t xml:space="preserve">Норма надання послуги на 1 особу </t>
  </si>
  <si>
    <t>Водій сміттэвоза СБМ 601/2</t>
  </si>
  <si>
    <t>Понеділок</t>
  </si>
  <si>
    <t>1 рейс</t>
  </si>
  <si>
    <t>2 рейс</t>
  </si>
  <si>
    <t>3рейс</t>
  </si>
  <si>
    <t>Вівторок</t>
  </si>
  <si>
    <t>3 рейс</t>
  </si>
  <si>
    <t>Середа</t>
  </si>
  <si>
    <t>4 рейс</t>
  </si>
  <si>
    <t>Четвер</t>
  </si>
  <si>
    <t>1рейс</t>
  </si>
  <si>
    <t>П'ятниця</t>
  </si>
  <si>
    <r>
      <rPr>
        <b/>
        <sz val="12"/>
        <rFont val="Times New Roman"/>
        <family val="1"/>
        <charset val="204"/>
      </rPr>
      <t>Краснокутськ -Сонцедарівка- Дублянка</t>
    </r>
    <r>
      <rPr>
        <sz val="12"/>
        <rFont val="Times New Roman"/>
        <family val="1"/>
        <charset val="204"/>
      </rPr>
      <t xml:space="preserve"> :вул Єдності, 14а, 50, 28 вул.Ставкова 4,  31 вул. Польова 14,  </t>
    </r>
    <r>
      <rPr>
        <b/>
        <sz val="12"/>
        <rFont val="Times New Roman"/>
        <family val="1"/>
        <charset val="204"/>
      </rPr>
      <t>Дублянка-Богодухів;</t>
    </r>
    <r>
      <rPr>
        <sz val="12"/>
        <rFont val="Times New Roman"/>
        <family val="1"/>
        <charset val="204"/>
      </rPr>
      <t xml:space="preserve">  </t>
    </r>
    <r>
      <rPr>
        <b/>
        <sz val="12"/>
        <rFont val="Times New Roman"/>
        <family val="1"/>
        <charset val="204"/>
      </rPr>
      <t>Богодухів-Краснокутськ</t>
    </r>
    <r>
      <rPr>
        <sz val="12"/>
        <rFont val="Times New Roman"/>
        <family val="1"/>
        <charset val="204"/>
      </rPr>
      <t xml:space="preserve">  </t>
    </r>
    <r>
      <rPr>
        <b/>
        <sz val="12"/>
        <rFont val="Times New Roman"/>
        <family val="1"/>
        <charset val="204"/>
      </rPr>
      <t>= 143,7 км</t>
    </r>
    <r>
      <rPr>
        <sz val="12"/>
        <rFont val="Times New Roman"/>
        <family val="1"/>
        <charset val="204"/>
      </rPr>
      <t xml:space="preserve">  </t>
    </r>
  </si>
  <si>
    <t xml:space="preserve"> Кі-сть рейсів на 1 маш. = 48 х 31/  : 5 маш = 298 рейси</t>
  </si>
  <si>
    <t>Начальник</t>
  </si>
  <si>
    <t>Павло ГУЦЕЛЬ</t>
  </si>
  <si>
    <t>Головний бухгалтер</t>
  </si>
  <si>
    <t>Валерій ЦЕПЛИЙ</t>
  </si>
  <si>
    <t xml:space="preserve">Начальник </t>
  </si>
  <si>
    <t>Павло  ГУЦЕЛЬ</t>
  </si>
  <si>
    <t>Валерій  ЦЕПЛИЙ</t>
  </si>
  <si>
    <t xml:space="preserve">ПРЯМІ МАТЕРІАЛЬНІ ВИТРАТИ </t>
  </si>
  <si>
    <t>Водій сміттєвоза МАЗ 45-71</t>
  </si>
  <si>
    <t>Водій сміттєвоза ГАЗ 33-09</t>
  </si>
  <si>
    <t>Водій сміттєвоза СКС 1,02</t>
  </si>
  <si>
    <t>Водій сміттєвоза СБМ 304/2</t>
  </si>
  <si>
    <t>Водій сміттєвоза СБМ 601/2</t>
  </si>
  <si>
    <t>Додаток</t>
  </si>
  <si>
    <t>ГРАФІК МАРШРУТІВ</t>
  </si>
  <si>
    <r>
      <t>ПЕТРІВСЬКЕ - 2 конт.   1,5 м</t>
    </r>
    <r>
      <rPr>
        <vertAlign val="superscript"/>
        <sz val="12"/>
        <rFont val="Times New Roman"/>
        <family val="1"/>
        <charset val="204"/>
      </rPr>
      <t>3</t>
    </r>
    <r>
      <rPr>
        <sz val="12"/>
        <rFont val="Times New Roman"/>
        <family val="1"/>
        <charset val="204"/>
      </rPr>
      <t xml:space="preserve">         КАЧАЛІВКА - 19 конт. 14,25 м</t>
    </r>
    <r>
      <rPr>
        <vertAlign val="superscript"/>
        <sz val="12"/>
        <rFont val="Times New Roman"/>
        <family val="1"/>
        <charset val="204"/>
      </rPr>
      <t xml:space="preserve">3                                                                                                                                    </t>
    </r>
    <r>
      <rPr>
        <i/>
        <vertAlign val="superscript"/>
        <sz val="11"/>
        <rFont val="Times New Roman"/>
        <family val="1"/>
        <charset val="204"/>
      </rPr>
      <t xml:space="preserve"> </t>
    </r>
    <r>
      <rPr>
        <i/>
        <sz val="11"/>
        <rFont val="Times New Roman"/>
        <family val="1"/>
        <charset val="204"/>
      </rPr>
      <t xml:space="preserve">21 конт. х 075м3 = 15,75м3 х 4тиж/міс. х 12 міс. = </t>
    </r>
    <r>
      <rPr>
        <b/>
        <i/>
        <sz val="11"/>
        <rFont val="Times New Roman"/>
        <family val="1"/>
        <charset val="204"/>
      </rPr>
      <t>756 м3</t>
    </r>
  </si>
  <si>
    <t>контейнерів</t>
  </si>
  <si>
    <t>км</t>
  </si>
  <si>
    <t>неділля</t>
  </si>
  <si>
    <t>місяць</t>
  </si>
  <si>
    <t>рік</t>
  </si>
  <si>
    <t>понеділок</t>
  </si>
  <si>
    <t>вівторорк</t>
  </si>
  <si>
    <t>середа</t>
  </si>
  <si>
    <t>четвер</t>
  </si>
  <si>
    <t>пятниця</t>
  </si>
  <si>
    <r>
      <t>м</t>
    </r>
    <r>
      <rPr>
        <b/>
        <vertAlign val="superscript"/>
        <sz val="12"/>
        <rFont val="Arial Cyr"/>
        <charset val="204"/>
      </rPr>
      <t>3</t>
    </r>
  </si>
  <si>
    <t>на послугу з управління змішаними побутовими відходами та тарифів на операції збирання, перевезення, видалення (за договором) змішаних побутових відходів</t>
  </si>
  <si>
    <t>5 рейс</t>
  </si>
  <si>
    <r>
      <t>ВОЛОДИМИРІВКА - 5 конт. 3,75 м</t>
    </r>
    <r>
      <rPr>
        <vertAlign val="superscript"/>
        <sz val="12"/>
        <rFont val="Times New Roman"/>
        <family val="1"/>
        <charset val="204"/>
      </rPr>
      <t>3</t>
    </r>
    <r>
      <rPr>
        <sz val="12"/>
        <rFont val="Times New Roman"/>
        <family val="1"/>
        <charset val="204"/>
      </rPr>
      <t xml:space="preserve">  СОРОКОВЕ - 5 конт. 3,75 м</t>
    </r>
    <r>
      <rPr>
        <vertAlign val="superscript"/>
        <sz val="12"/>
        <rFont val="Times New Roman"/>
        <family val="1"/>
        <charset val="204"/>
      </rPr>
      <t>3</t>
    </r>
    <r>
      <rPr>
        <sz val="12"/>
        <rFont val="Times New Roman"/>
        <family val="1"/>
        <charset val="204"/>
      </rPr>
      <t xml:space="preserve">     ПИЛЬНЯНКА -1 конт. 0,75м</t>
    </r>
    <r>
      <rPr>
        <vertAlign val="superscript"/>
        <sz val="12"/>
        <rFont val="Times New Roman"/>
        <family val="1"/>
        <charset val="204"/>
      </rPr>
      <t>3</t>
    </r>
    <r>
      <rPr>
        <sz val="12"/>
        <rFont val="Times New Roman"/>
        <family val="1"/>
        <charset val="204"/>
      </rPr>
      <t xml:space="preserve">                                                 </t>
    </r>
    <r>
      <rPr>
        <i/>
        <sz val="12"/>
        <rFont val="Times New Roman"/>
        <family val="1"/>
        <charset val="204"/>
      </rPr>
      <t xml:space="preserve">11 конт. х 0,75м3 = 8,25 м3 х 4 тиж/міс. х 12 міс. = </t>
    </r>
    <r>
      <rPr>
        <b/>
        <i/>
        <sz val="12"/>
        <rFont val="Times New Roman"/>
        <family val="1"/>
        <charset val="204"/>
      </rPr>
      <t>396 м</t>
    </r>
    <r>
      <rPr>
        <b/>
        <i/>
        <vertAlign val="superscript"/>
        <sz val="12"/>
        <rFont val="Times New Roman"/>
        <family val="1"/>
        <charset val="204"/>
      </rPr>
      <t>3</t>
    </r>
  </si>
  <si>
    <r>
      <t xml:space="preserve">Краснокутськ - Володимиріка: </t>
    </r>
    <r>
      <rPr>
        <sz val="12"/>
        <rFont val="Times New Roman"/>
        <family val="1"/>
        <charset val="204"/>
      </rPr>
      <t>вул. Лісова 1, вул. Лісова 8, вул. Лісова 13</t>
    </r>
    <r>
      <rPr>
        <b/>
        <sz val="12"/>
        <rFont val="Times New Roman"/>
        <family val="1"/>
        <charset val="204"/>
      </rPr>
      <t xml:space="preserve">.;   Сорокове: </t>
    </r>
    <r>
      <rPr>
        <sz val="12"/>
        <rFont val="Times New Roman"/>
        <family val="1"/>
        <charset val="204"/>
      </rPr>
      <t xml:space="preserve">вул. Лісова 6, вул. Центральна 8, вул.Центральна 12, вул.Шкільна 9;  </t>
    </r>
    <r>
      <rPr>
        <b/>
        <sz val="12"/>
        <rFont val="Times New Roman"/>
        <family val="1"/>
        <charset val="204"/>
      </rPr>
      <t xml:space="preserve">Пильнанка: </t>
    </r>
    <r>
      <rPr>
        <sz val="12"/>
        <rFont val="Times New Roman"/>
        <family val="1"/>
        <charset val="204"/>
      </rPr>
      <t>вул.Мисливська</t>
    </r>
  </si>
  <si>
    <r>
      <t xml:space="preserve"> ЛЮБІВКА- 19 конт.    14,25 м</t>
    </r>
    <r>
      <rPr>
        <vertAlign val="superscript"/>
        <sz val="12"/>
        <rFont val="Cambria"/>
        <family val="1"/>
        <charset val="204"/>
      </rPr>
      <t>3</t>
    </r>
    <r>
      <rPr>
        <sz val="12"/>
        <rFont val="Cambria"/>
        <family val="1"/>
        <charset val="204"/>
      </rPr>
      <t xml:space="preserve">             КОЛОНТАЇВ -28 конт.     21,00 м</t>
    </r>
    <r>
      <rPr>
        <vertAlign val="superscript"/>
        <sz val="12"/>
        <rFont val="Cambria"/>
        <family val="1"/>
        <charset val="204"/>
      </rPr>
      <t>3</t>
    </r>
    <r>
      <rPr>
        <sz val="12"/>
        <rFont val="Cambria"/>
        <family val="1"/>
        <charset val="204"/>
      </rPr>
      <t xml:space="preserve">                                                                                       </t>
    </r>
    <r>
      <rPr>
        <i/>
        <sz val="11"/>
        <rFont val="Cambria"/>
        <family val="1"/>
        <charset val="204"/>
      </rPr>
      <t>47 конт. х 0,75 м3= 35,25м</t>
    </r>
    <r>
      <rPr>
        <i/>
        <vertAlign val="superscript"/>
        <sz val="11"/>
        <rFont val="Cambria"/>
        <family val="1"/>
        <charset val="204"/>
      </rPr>
      <t>3</t>
    </r>
    <r>
      <rPr>
        <i/>
        <sz val="11"/>
        <rFont val="Cambria"/>
        <family val="1"/>
        <charset val="204"/>
      </rPr>
      <t xml:space="preserve"> х 4 тиж/міс. х 12 міс. =</t>
    </r>
    <r>
      <rPr>
        <b/>
        <i/>
        <sz val="11"/>
        <rFont val="Cambria"/>
        <family val="1"/>
        <charset val="204"/>
      </rPr>
      <t xml:space="preserve"> 1 692 м</t>
    </r>
    <r>
      <rPr>
        <b/>
        <i/>
        <vertAlign val="superscript"/>
        <sz val="11"/>
        <rFont val="Cambria"/>
        <family val="1"/>
        <charset val="204"/>
      </rPr>
      <t>3</t>
    </r>
  </si>
  <si>
    <r>
      <t>ОСНОВИНЦІ - 12 конт.     9,0 м</t>
    </r>
    <r>
      <rPr>
        <vertAlign val="superscript"/>
        <sz val="12"/>
        <rFont val="Times New Roman"/>
        <family val="1"/>
        <charset val="204"/>
      </rPr>
      <t xml:space="preserve">3                                                                                                                                                                                                               </t>
    </r>
    <r>
      <rPr>
        <i/>
        <vertAlign val="superscript"/>
        <sz val="12"/>
        <rFont val="Times New Roman"/>
        <family val="1"/>
        <charset val="204"/>
      </rPr>
      <t xml:space="preserve"> </t>
    </r>
    <r>
      <rPr>
        <i/>
        <sz val="12"/>
        <rFont val="Times New Roman"/>
        <family val="1"/>
        <charset val="204"/>
      </rPr>
      <t>12 конт. х 0,75м</t>
    </r>
    <r>
      <rPr>
        <i/>
        <vertAlign val="superscript"/>
        <sz val="12"/>
        <rFont val="Times New Roman"/>
        <family val="1"/>
        <charset val="204"/>
      </rPr>
      <t>3</t>
    </r>
    <r>
      <rPr>
        <i/>
        <sz val="12"/>
        <rFont val="Times New Roman"/>
        <family val="1"/>
        <charset val="204"/>
      </rPr>
      <t xml:space="preserve"> = 9,0 м</t>
    </r>
    <r>
      <rPr>
        <i/>
        <vertAlign val="superscript"/>
        <sz val="12"/>
        <rFont val="Times New Roman"/>
        <family val="1"/>
        <charset val="204"/>
      </rPr>
      <t>3</t>
    </r>
    <r>
      <rPr>
        <i/>
        <sz val="12"/>
        <rFont val="Times New Roman"/>
        <family val="1"/>
        <charset val="204"/>
      </rPr>
      <t xml:space="preserve"> х 4тиж./міс. х 12 міс. = </t>
    </r>
    <r>
      <rPr>
        <b/>
        <i/>
        <sz val="12"/>
        <rFont val="Times New Roman"/>
        <family val="1"/>
        <charset val="204"/>
      </rPr>
      <t>432 м</t>
    </r>
    <r>
      <rPr>
        <b/>
        <i/>
        <vertAlign val="superscript"/>
        <sz val="12"/>
        <rFont val="Times New Roman"/>
        <family val="1"/>
        <charset val="204"/>
      </rPr>
      <t>3</t>
    </r>
  </si>
  <si>
    <r>
      <t>РЯБОКОНЕВО - 12 конт.   9,0 м</t>
    </r>
    <r>
      <rPr>
        <vertAlign val="superscript"/>
        <sz val="12"/>
        <rFont val="Times New Roman"/>
        <family val="1"/>
        <charset val="204"/>
      </rPr>
      <t xml:space="preserve">3                                                                                                                                                                                                               </t>
    </r>
    <r>
      <rPr>
        <i/>
        <vertAlign val="superscript"/>
        <sz val="11"/>
        <rFont val="Times New Roman"/>
        <family val="1"/>
        <charset val="204"/>
      </rPr>
      <t xml:space="preserve"> </t>
    </r>
    <r>
      <rPr>
        <i/>
        <sz val="11"/>
        <rFont val="Times New Roman"/>
        <family val="1"/>
        <charset val="204"/>
      </rPr>
      <t>12 конт. х 0,75м3 = 9,0 м3 х 4тиж./міс. х 12 міс. =</t>
    </r>
    <r>
      <rPr>
        <b/>
        <i/>
        <sz val="11"/>
        <rFont val="Times New Roman"/>
        <family val="1"/>
        <charset val="204"/>
      </rPr>
      <t xml:space="preserve">432 м3 </t>
    </r>
  </si>
  <si>
    <r>
      <rPr>
        <b/>
        <sz val="12"/>
        <rFont val="Times New Roman"/>
        <family val="1"/>
        <charset val="204"/>
      </rPr>
      <t xml:space="preserve">Краснокутськ </t>
    </r>
    <r>
      <rPr>
        <sz val="12"/>
        <rFont val="Times New Roman"/>
        <family val="1"/>
        <charset val="204"/>
      </rPr>
      <t>: вул.Миру 146, Театральний 4, Перемоги 16, 11Б, ,12А, 12Б, 12Г, 12В,  Дачна 4, Східна-пров. Дачний , вул. Захисників України 54,24,11,7. вул. Паркова 1</t>
    </r>
    <r>
      <rPr>
        <sz val="10"/>
        <rFont val="Times New Roman"/>
        <family val="1"/>
        <charset val="204"/>
      </rPr>
      <t xml:space="preserve">,  </t>
    </r>
    <r>
      <rPr>
        <sz val="12"/>
        <rFont val="Times New Roman"/>
        <family val="1"/>
        <charset val="204"/>
      </rPr>
      <t xml:space="preserve">вул.Миру 158,  </t>
    </r>
    <r>
      <rPr>
        <b/>
        <sz val="12"/>
        <rFont val="Times New Roman"/>
        <family val="1"/>
        <charset val="204"/>
      </rPr>
      <t>Краснокутськ-Богодухів;</t>
    </r>
    <r>
      <rPr>
        <sz val="12"/>
        <rFont val="Times New Roman"/>
        <family val="1"/>
        <charset val="204"/>
      </rPr>
      <t xml:space="preserve">  </t>
    </r>
    <r>
      <rPr>
        <b/>
        <sz val="12"/>
        <rFont val="Times New Roman"/>
        <family val="1"/>
        <charset val="204"/>
      </rPr>
      <t>Богодухів-Краснокутськ</t>
    </r>
    <r>
      <rPr>
        <sz val="12"/>
        <rFont val="Times New Roman"/>
        <family val="1"/>
        <charset val="204"/>
      </rPr>
      <t xml:space="preserve">  </t>
    </r>
    <r>
      <rPr>
        <b/>
        <sz val="12"/>
        <rFont val="Times New Roman"/>
        <family val="1"/>
        <charset val="204"/>
      </rPr>
      <t xml:space="preserve">= </t>
    </r>
    <r>
      <rPr>
        <sz val="12"/>
        <rFont val="Times New Roman"/>
        <family val="1"/>
        <charset val="204"/>
      </rPr>
      <t xml:space="preserve"> </t>
    </r>
    <r>
      <rPr>
        <b/>
        <sz val="12"/>
        <rFont val="Times New Roman"/>
        <family val="1"/>
        <charset val="204"/>
      </rPr>
      <t xml:space="preserve">102,1 км </t>
    </r>
    <r>
      <rPr>
        <sz val="12"/>
        <rFont val="Times New Roman"/>
        <family val="1"/>
        <charset val="204"/>
      </rPr>
      <t xml:space="preserve"> </t>
    </r>
  </si>
  <si>
    <r>
      <t>КРАСНОКУТСЬК - 27 конт. 20,25 м</t>
    </r>
    <r>
      <rPr>
        <vertAlign val="superscript"/>
        <sz val="12"/>
        <rFont val="Times New Roman"/>
        <family val="1"/>
        <charset val="204"/>
      </rPr>
      <t xml:space="preserve">3                                                                                                                                                                                                            </t>
    </r>
    <r>
      <rPr>
        <i/>
        <sz val="11"/>
        <rFont val="Times New Roman"/>
        <family val="1"/>
        <charset val="204"/>
      </rPr>
      <t>27 конт. х 0.75 м3 = 20,25 м</t>
    </r>
    <r>
      <rPr>
        <i/>
        <vertAlign val="superscript"/>
        <sz val="11"/>
        <rFont val="Times New Roman"/>
        <family val="1"/>
        <charset val="204"/>
      </rPr>
      <t>3</t>
    </r>
    <r>
      <rPr>
        <i/>
        <sz val="11"/>
        <rFont val="Times New Roman"/>
        <family val="1"/>
        <charset val="204"/>
      </rPr>
      <t xml:space="preserve"> х 4 тиж/міс. х 12 міс. = </t>
    </r>
    <r>
      <rPr>
        <b/>
        <i/>
        <sz val="11"/>
        <rFont val="Times New Roman"/>
        <family val="1"/>
        <charset val="204"/>
      </rPr>
      <t>972 м</t>
    </r>
    <r>
      <rPr>
        <b/>
        <i/>
        <vertAlign val="superscript"/>
        <sz val="11"/>
        <rFont val="Times New Roman"/>
        <family val="1"/>
        <charset val="204"/>
      </rPr>
      <t>3</t>
    </r>
  </si>
  <si>
    <r>
      <t>КРАСНОКУТСЬК - 22 конт.  16,5 м</t>
    </r>
    <r>
      <rPr>
        <vertAlign val="superscript"/>
        <sz val="12"/>
        <rFont val="Times New Roman"/>
        <family val="1"/>
        <charset val="204"/>
      </rPr>
      <t xml:space="preserve">3                                                                                                                                                                                                         </t>
    </r>
    <r>
      <rPr>
        <sz val="12"/>
        <rFont val="Times New Roman"/>
        <family val="1"/>
        <charset val="204"/>
      </rPr>
      <t xml:space="preserve">  </t>
    </r>
    <r>
      <rPr>
        <i/>
        <sz val="12"/>
        <rFont val="Times New Roman"/>
        <family val="1"/>
        <charset val="204"/>
      </rPr>
      <t>22</t>
    </r>
    <r>
      <rPr>
        <i/>
        <sz val="11"/>
        <rFont val="Times New Roman"/>
        <family val="1"/>
        <charset val="204"/>
      </rPr>
      <t xml:space="preserve"> конт. х 0,75 м</t>
    </r>
    <r>
      <rPr>
        <i/>
        <vertAlign val="superscript"/>
        <sz val="11"/>
        <rFont val="Times New Roman"/>
        <family val="1"/>
        <charset val="204"/>
      </rPr>
      <t>3</t>
    </r>
    <r>
      <rPr>
        <i/>
        <sz val="11"/>
        <rFont val="Times New Roman"/>
        <family val="1"/>
        <charset val="204"/>
      </rPr>
      <t xml:space="preserve"> = 16,5 м</t>
    </r>
    <r>
      <rPr>
        <i/>
        <vertAlign val="superscript"/>
        <sz val="11"/>
        <rFont val="Times New Roman"/>
        <family val="1"/>
        <charset val="204"/>
      </rPr>
      <t>3</t>
    </r>
    <r>
      <rPr>
        <i/>
        <sz val="11"/>
        <rFont val="Times New Roman"/>
        <family val="1"/>
        <charset val="204"/>
      </rPr>
      <t xml:space="preserve"> х 4тиж/міс. х 12 міс. =</t>
    </r>
    <r>
      <rPr>
        <b/>
        <i/>
        <sz val="11"/>
        <rFont val="Times New Roman"/>
        <family val="1"/>
        <charset val="204"/>
      </rPr>
      <t xml:space="preserve"> 792 м</t>
    </r>
    <r>
      <rPr>
        <b/>
        <i/>
        <vertAlign val="superscript"/>
        <sz val="11"/>
        <rFont val="Times New Roman"/>
        <family val="1"/>
        <charset val="204"/>
      </rPr>
      <t>3</t>
    </r>
  </si>
  <si>
    <r>
      <t>КРАСНОКУТСЬК - 20 конт.   15,0 м</t>
    </r>
    <r>
      <rPr>
        <vertAlign val="superscript"/>
        <sz val="12"/>
        <rFont val="Times New Roman"/>
        <family val="1"/>
        <charset val="204"/>
      </rPr>
      <t xml:space="preserve">3                                                                                         </t>
    </r>
    <r>
      <rPr>
        <i/>
        <vertAlign val="superscript"/>
        <sz val="12"/>
        <rFont val="Times New Roman"/>
        <family val="1"/>
        <charset val="204"/>
      </rPr>
      <t xml:space="preserve">                                                                                                                          </t>
    </r>
    <r>
      <rPr>
        <i/>
        <sz val="12"/>
        <rFont val="Times New Roman"/>
        <family val="1"/>
        <charset val="204"/>
      </rPr>
      <t xml:space="preserve"> 20</t>
    </r>
    <r>
      <rPr>
        <i/>
        <sz val="11"/>
        <rFont val="Times New Roman"/>
        <family val="1"/>
        <charset val="204"/>
      </rPr>
      <t xml:space="preserve"> конт. х 0,75 м</t>
    </r>
    <r>
      <rPr>
        <i/>
        <vertAlign val="superscript"/>
        <sz val="11"/>
        <rFont val="Times New Roman"/>
        <family val="1"/>
        <charset val="204"/>
      </rPr>
      <t>3</t>
    </r>
    <r>
      <rPr>
        <i/>
        <sz val="11"/>
        <rFont val="Times New Roman"/>
        <family val="1"/>
        <charset val="204"/>
      </rPr>
      <t xml:space="preserve"> = 15,0 м</t>
    </r>
    <r>
      <rPr>
        <i/>
        <vertAlign val="superscript"/>
        <sz val="11"/>
        <rFont val="Times New Roman"/>
        <family val="1"/>
        <charset val="204"/>
      </rPr>
      <t>3</t>
    </r>
    <r>
      <rPr>
        <i/>
        <sz val="11"/>
        <rFont val="Times New Roman"/>
        <family val="1"/>
        <charset val="204"/>
      </rPr>
      <t xml:space="preserve"> х 4тиж/міс. х 12 міс. = </t>
    </r>
    <r>
      <rPr>
        <b/>
        <i/>
        <sz val="11"/>
        <rFont val="Times New Roman"/>
        <family val="1"/>
        <charset val="204"/>
      </rPr>
      <t>720 м</t>
    </r>
    <r>
      <rPr>
        <b/>
        <i/>
        <vertAlign val="superscript"/>
        <sz val="11"/>
        <rFont val="Times New Roman"/>
        <family val="1"/>
        <charset val="204"/>
      </rPr>
      <t>3</t>
    </r>
  </si>
  <si>
    <r>
      <t>КРАСНОКУТСЬК - 15 конт.   11,25 м</t>
    </r>
    <r>
      <rPr>
        <vertAlign val="superscript"/>
        <sz val="12"/>
        <rFont val="Times New Roman"/>
        <family val="1"/>
        <charset val="204"/>
      </rPr>
      <t xml:space="preserve">3                                                                                                                                                                                                              </t>
    </r>
    <r>
      <rPr>
        <vertAlign val="superscript"/>
        <sz val="11"/>
        <rFont val="Times New Roman"/>
        <family val="1"/>
        <charset val="204"/>
      </rPr>
      <t xml:space="preserve"> </t>
    </r>
    <r>
      <rPr>
        <i/>
        <sz val="11"/>
        <rFont val="Times New Roman"/>
        <family val="1"/>
        <charset val="204"/>
      </rPr>
      <t xml:space="preserve">15 конт. х 0,75 м3 = 11,25  м3 х 4тиж/міс. х 12 міс. = </t>
    </r>
    <r>
      <rPr>
        <b/>
        <i/>
        <sz val="11"/>
        <rFont val="Times New Roman"/>
        <family val="1"/>
        <charset val="204"/>
      </rPr>
      <t>540 м3</t>
    </r>
  </si>
  <si>
    <r>
      <t>КРАСНОКУТСЬК - 17 конт.  12,75 м</t>
    </r>
    <r>
      <rPr>
        <vertAlign val="superscript"/>
        <sz val="12"/>
        <rFont val="Times New Roman"/>
        <family val="1"/>
        <charset val="204"/>
      </rPr>
      <t xml:space="preserve">3                                                                                                                                                                                                               </t>
    </r>
    <r>
      <rPr>
        <i/>
        <vertAlign val="superscript"/>
        <sz val="11"/>
        <rFont val="Times New Roman"/>
        <family val="1"/>
        <charset val="204"/>
      </rPr>
      <t xml:space="preserve"> </t>
    </r>
    <r>
      <rPr>
        <i/>
        <sz val="11"/>
        <rFont val="Times New Roman"/>
        <family val="1"/>
        <charset val="204"/>
      </rPr>
      <t xml:space="preserve">17 конт. х 0,75м3 = 12,75 м3 х 4тиж./міс. х 12 міс. = </t>
    </r>
    <r>
      <rPr>
        <b/>
        <i/>
        <sz val="11"/>
        <rFont val="Times New Roman"/>
        <family val="1"/>
        <charset val="204"/>
      </rPr>
      <t xml:space="preserve">612 м3 </t>
    </r>
  </si>
  <si>
    <r>
      <t>КРАСНОКУТСЬК -20 конт.  15,0 м</t>
    </r>
    <r>
      <rPr>
        <vertAlign val="superscript"/>
        <sz val="12"/>
        <rFont val="Times New Roman"/>
        <family val="1"/>
        <charset val="204"/>
      </rPr>
      <t xml:space="preserve">3                                                                                                                                                                                                                 </t>
    </r>
    <r>
      <rPr>
        <i/>
        <vertAlign val="superscript"/>
        <sz val="12"/>
        <rFont val="Times New Roman"/>
        <family val="1"/>
        <charset val="204"/>
      </rPr>
      <t xml:space="preserve">   </t>
    </r>
    <r>
      <rPr>
        <i/>
        <sz val="12"/>
        <rFont val="Times New Roman"/>
        <family val="1"/>
        <charset val="204"/>
      </rPr>
      <t>20</t>
    </r>
    <r>
      <rPr>
        <i/>
        <vertAlign val="superscript"/>
        <sz val="12"/>
        <rFont val="Times New Roman"/>
        <family val="1"/>
        <charset val="204"/>
      </rPr>
      <t xml:space="preserve"> </t>
    </r>
    <r>
      <rPr>
        <i/>
        <sz val="11"/>
        <rFont val="Times New Roman"/>
        <family val="1"/>
        <charset val="204"/>
      </rPr>
      <t>конт. х 0,75м</t>
    </r>
    <r>
      <rPr>
        <i/>
        <vertAlign val="superscript"/>
        <sz val="11"/>
        <rFont val="Times New Roman"/>
        <family val="1"/>
        <charset val="204"/>
      </rPr>
      <t>3</t>
    </r>
    <r>
      <rPr>
        <i/>
        <sz val="11"/>
        <rFont val="Times New Roman"/>
        <family val="1"/>
        <charset val="204"/>
      </rPr>
      <t xml:space="preserve"> = 15,0 м</t>
    </r>
    <r>
      <rPr>
        <i/>
        <vertAlign val="superscript"/>
        <sz val="11"/>
        <rFont val="Times New Roman"/>
        <family val="1"/>
        <charset val="204"/>
      </rPr>
      <t>3</t>
    </r>
    <r>
      <rPr>
        <i/>
        <sz val="11"/>
        <rFont val="Times New Roman"/>
        <family val="1"/>
        <charset val="204"/>
      </rPr>
      <t xml:space="preserve"> х 4тиж./міс. х 12 міс. = </t>
    </r>
    <r>
      <rPr>
        <b/>
        <i/>
        <sz val="11"/>
        <rFont val="Times New Roman"/>
        <family val="1"/>
        <charset val="204"/>
      </rPr>
      <t>720 м</t>
    </r>
    <r>
      <rPr>
        <b/>
        <i/>
        <vertAlign val="superscript"/>
        <sz val="11"/>
        <rFont val="Times New Roman"/>
        <family val="1"/>
        <charset val="204"/>
      </rPr>
      <t>3</t>
    </r>
  </si>
  <si>
    <r>
      <t>КРАСНОКУТСЬК - 15 конт.  11,25 м</t>
    </r>
    <r>
      <rPr>
        <vertAlign val="superscript"/>
        <sz val="12"/>
        <rFont val="Times New Roman"/>
        <family val="1"/>
        <charset val="204"/>
      </rPr>
      <t xml:space="preserve">3                                                                                                                                                                                                              </t>
    </r>
    <r>
      <rPr>
        <i/>
        <sz val="12"/>
        <rFont val="Times New Roman"/>
        <family val="1"/>
        <charset val="204"/>
      </rPr>
      <t>15 конт.х 0,75м</t>
    </r>
    <r>
      <rPr>
        <i/>
        <vertAlign val="superscript"/>
        <sz val="12"/>
        <rFont val="Times New Roman"/>
        <family val="1"/>
        <charset val="204"/>
      </rPr>
      <t>3</t>
    </r>
    <r>
      <rPr>
        <i/>
        <sz val="12"/>
        <rFont val="Times New Roman"/>
        <family val="1"/>
        <charset val="204"/>
      </rPr>
      <t xml:space="preserve"> = 11,25м</t>
    </r>
    <r>
      <rPr>
        <i/>
        <vertAlign val="superscript"/>
        <sz val="12"/>
        <rFont val="Times New Roman"/>
        <family val="1"/>
        <charset val="204"/>
      </rPr>
      <t xml:space="preserve">3 </t>
    </r>
    <r>
      <rPr>
        <i/>
        <sz val="12"/>
        <rFont val="Times New Roman"/>
        <family val="1"/>
        <charset val="204"/>
      </rPr>
      <t xml:space="preserve">х 4тиж./міс. х 12міс. = </t>
    </r>
    <r>
      <rPr>
        <b/>
        <i/>
        <sz val="12"/>
        <rFont val="Times New Roman"/>
        <family val="1"/>
        <charset val="204"/>
      </rPr>
      <t>540 м</t>
    </r>
    <r>
      <rPr>
        <b/>
        <i/>
        <vertAlign val="superscript"/>
        <sz val="12"/>
        <rFont val="Times New Roman"/>
        <family val="1"/>
        <charset val="204"/>
      </rPr>
      <t>3</t>
    </r>
  </si>
  <si>
    <r>
      <t>ПАРХОМІВКА - 74 конт.  55,5 м</t>
    </r>
    <r>
      <rPr>
        <vertAlign val="superscript"/>
        <sz val="12"/>
        <rFont val="Times New Roman"/>
        <family val="1"/>
        <charset val="204"/>
      </rPr>
      <t>3</t>
    </r>
    <r>
      <rPr>
        <sz val="12"/>
        <rFont val="Times New Roman"/>
        <family val="1"/>
        <charset val="204"/>
      </rPr>
      <t xml:space="preserve">             СТЕПАНІВКА - 6 конт.    4,5 м</t>
    </r>
    <r>
      <rPr>
        <vertAlign val="superscript"/>
        <sz val="12"/>
        <rFont val="Times New Roman"/>
        <family val="1"/>
        <charset val="204"/>
      </rPr>
      <t xml:space="preserve">3                                                                                                                </t>
    </r>
    <r>
      <rPr>
        <i/>
        <sz val="11"/>
        <rFont val="Times New Roman"/>
        <family val="1"/>
        <charset val="204"/>
      </rPr>
      <t>80 конт. х 0,75 м</t>
    </r>
    <r>
      <rPr>
        <i/>
        <vertAlign val="superscript"/>
        <sz val="11"/>
        <rFont val="Times New Roman"/>
        <family val="1"/>
        <charset val="204"/>
      </rPr>
      <t>3</t>
    </r>
    <r>
      <rPr>
        <i/>
        <sz val="11"/>
        <rFont val="Times New Roman"/>
        <family val="1"/>
        <charset val="204"/>
      </rPr>
      <t xml:space="preserve"> = 60,0 м</t>
    </r>
    <r>
      <rPr>
        <i/>
        <vertAlign val="superscript"/>
        <sz val="11"/>
        <rFont val="Times New Roman"/>
        <family val="1"/>
        <charset val="204"/>
      </rPr>
      <t>3</t>
    </r>
    <r>
      <rPr>
        <i/>
        <sz val="11"/>
        <rFont val="Times New Roman"/>
        <family val="1"/>
        <charset val="204"/>
      </rPr>
      <t xml:space="preserve"> х 4  тиж/міс. х 12 міс. =</t>
    </r>
    <r>
      <rPr>
        <b/>
        <i/>
        <sz val="11"/>
        <rFont val="Times New Roman"/>
        <family val="1"/>
        <charset val="204"/>
      </rPr>
      <t xml:space="preserve"> 2 880,0 м</t>
    </r>
    <r>
      <rPr>
        <b/>
        <i/>
        <vertAlign val="superscript"/>
        <sz val="11"/>
        <rFont val="Times New Roman"/>
        <family val="1"/>
        <charset val="204"/>
      </rPr>
      <t>3</t>
    </r>
  </si>
  <si>
    <r>
      <t>СОНЦЕДАРІВКА - 5 конт.  3,75 м</t>
    </r>
    <r>
      <rPr>
        <vertAlign val="superscript"/>
        <sz val="12"/>
        <rFont val="Times New Roman"/>
        <family val="1"/>
        <charset val="204"/>
      </rPr>
      <t>3</t>
    </r>
    <r>
      <rPr>
        <sz val="12"/>
        <rFont val="Times New Roman"/>
        <family val="1"/>
        <charset val="204"/>
      </rPr>
      <t xml:space="preserve">    ДУБЛЯНКА - 18 конт.  13,5 м</t>
    </r>
    <r>
      <rPr>
        <vertAlign val="superscript"/>
        <sz val="12"/>
        <rFont val="Times New Roman"/>
        <family val="1"/>
        <charset val="204"/>
      </rPr>
      <t xml:space="preserve">3                                                                                                                                     </t>
    </r>
    <r>
      <rPr>
        <i/>
        <vertAlign val="superscript"/>
        <sz val="12"/>
        <rFont val="Times New Roman"/>
        <family val="1"/>
        <charset val="204"/>
      </rPr>
      <t xml:space="preserve"> </t>
    </r>
    <r>
      <rPr>
        <i/>
        <sz val="12"/>
        <rFont val="Times New Roman"/>
        <family val="1"/>
        <charset val="204"/>
      </rPr>
      <t xml:space="preserve">23 конт. х 0,75м3 = 17,25 м3 х 4тиж./міс. х 12 міс. = </t>
    </r>
    <r>
      <rPr>
        <b/>
        <i/>
        <sz val="12"/>
        <rFont val="Times New Roman"/>
        <family val="1"/>
        <charset val="204"/>
      </rPr>
      <t>828 м3</t>
    </r>
  </si>
  <si>
    <r>
      <t>ВОДЯНЕ -15 конт.   11,25 м</t>
    </r>
    <r>
      <rPr>
        <vertAlign val="superscript"/>
        <sz val="12"/>
        <rFont val="Times New Roman"/>
        <family val="1"/>
        <charset val="204"/>
      </rPr>
      <t>3</t>
    </r>
    <r>
      <rPr>
        <sz val="12"/>
        <rFont val="Times New Roman"/>
        <family val="1"/>
        <charset val="204"/>
      </rPr>
      <t xml:space="preserve">         ОЛЕКСІЇВКА - 21 конт.  15,75 м</t>
    </r>
    <r>
      <rPr>
        <vertAlign val="superscript"/>
        <sz val="12"/>
        <rFont val="Times New Roman"/>
        <family val="1"/>
        <charset val="204"/>
      </rPr>
      <t xml:space="preserve">3                                                                                                                                      </t>
    </r>
    <r>
      <rPr>
        <i/>
        <sz val="11"/>
        <rFont val="Times New Roman"/>
        <family val="1"/>
        <charset val="204"/>
      </rPr>
      <t>36конт. х 0,75 м</t>
    </r>
    <r>
      <rPr>
        <i/>
        <vertAlign val="superscript"/>
        <sz val="11"/>
        <rFont val="Times New Roman"/>
        <family val="1"/>
        <charset val="204"/>
      </rPr>
      <t>3</t>
    </r>
    <r>
      <rPr>
        <i/>
        <sz val="11"/>
        <rFont val="Times New Roman"/>
        <family val="1"/>
        <charset val="204"/>
      </rPr>
      <t xml:space="preserve"> = 27,0м</t>
    </r>
    <r>
      <rPr>
        <i/>
        <vertAlign val="superscript"/>
        <sz val="11"/>
        <rFont val="Times New Roman"/>
        <family val="1"/>
        <charset val="204"/>
      </rPr>
      <t>3</t>
    </r>
    <r>
      <rPr>
        <i/>
        <sz val="11"/>
        <rFont val="Times New Roman"/>
        <family val="1"/>
        <charset val="204"/>
      </rPr>
      <t xml:space="preserve"> х 4тиж./міс. х 12 міс. =</t>
    </r>
    <r>
      <rPr>
        <b/>
        <i/>
        <sz val="11"/>
        <rFont val="Times New Roman"/>
        <family val="1"/>
        <charset val="204"/>
      </rPr>
      <t xml:space="preserve"> 1 296 м</t>
    </r>
    <r>
      <rPr>
        <b/>
        <i/>
        <vertAlign val="superscript"/>
        <sz val="11"/>
        <rFont val="Times New Roman"/>
        <family val="1"/>
        <charset val="204"/>
      </rPr>
      <t>3</t>
    </r>
  </si>
  <si>
    <r>
      <t>ГОРОДНЄ - 24 конт.  18,0 м</t>
    </r>
    <r>
      <rPr>
        <vertAlign val="superscript"/>
        <sz val="12"/>
        <rFont val="Times New Roman"/>
        <family val="1"/>
        <charset val="204"/>
      </rPr>
      <t>3</t>
    </r>
    <r>
      <rPr>
        <sz val="12"/>
        <rFont val="Times New Roman"/>
        <family val="1"/>
        <charset val="204"/>
      </rPr>
      <t xml:space="preserve">        КОЗІЇВКА - 52 конт.  39,0 м</t>
    </r>
    <r>
      <rPr>
        <vertAlign val="superscript"/>
        <sz val="12"/>
        <rFont val="Times New Roman"/>
        <family val="1"/>
        <charset val="204"/>
      </rPr>
      <t xml:space="preserve">3                                                                                                                                           </t>
    </r>
    <r>
      <rPr>
        <i/>
        <sz val="12"/>
        <rFont val="Times New Roman"/>
        <family val="1"/>
        <charset val="204"/>
      </rPr>
      <t xml:space="preserve">76 </t>
    </r>
    <r>
      <rPr>
        <i/>
        <sz val="11"/>
        <rFont val="Times New Roman"/>
        <family val="1"/>
        <charset val="204"/>
      </rPr>
      <t>конт. х 0,75м3 =  57,0 м3 х 4 тиж./міс. х 12 міс. =</t>
    </r>
    <r>
      <rPr>
        <b/>
        <i/>
        <sz val="11"/>
        <rFont val="Times New Roman"/>
        <family val="1"/>
        <charset val="204"/>
      </rPr>
      <t xml:space="preserve"> 2 736 м3</t>
    </r>
  </si>
  <si>
    <r>
      <t>ОЛЕНІВСЬКЕ - 3 конт. 2,25 м</t>
    </r>
    <r>
      <rPr>
        <vertAlign val="superscript"/>
        <sz val="12"/>
        <rFont val="Times New Roman"/>
        <family val="1"/>
        <charset val="204"/>
      </rPr>
      <t>3</t>
    </r>
    <r>
      <rPr>
        <sz val="12"/>
        <rFont val="Times New Roman"/>
        <family val="1"/>
        <charset val="204"/>
      </rPr>
      <t xml:space="preserve">        МУРАФА - 56 конт.  42,0 м</t>
    </r>
    <r>
      <rPr>
        <vertAlign val="superscript"/>
        <sz val="12"/>
        <rFont val="Times New Roman"/>
        <family val="1"/>
        <charset val="204"/>
      </rPr>
      <t xml:space="preserve">3         </t>
    </r>
    <r>
      <rPr>
        <sz val="12"/>
        <rFont val="Times New Roman"/>
        <family val="1"/>
        <charset val="204"/>
      </rPr>
      <t>МИРНЕ - 1 конт. 0,75 м</t>
    </r>
    <r>
      <rPr>
        <vertAlign val="superscript"/>
        <sz val="12"/>
        <rFont val="Times New Roman"/>
        <family val="1"/>
        <charset val="204"/>
      </rPr>
      <t xml:space="preserve">3                                                                       </t>
    </r>
    <r>
      <rPr>
        <i/>
        <vertAlign val="superscript"/>
        <sz val="12"/>
        <rFont val="Times New Roman"/>
        <family val="1"/>
        <charset val="204"/>
      </rPr>
      <t xml:space="preserve"> </t>
    </r>
    <r>
      <rPr>
        <i/>
        <sz val="11"/>
        <rFont val="Times New Roman"/>
        <family val="1"/>
        <charset val="204"/>
      </rPr>
      <t>60 конт. х 0,75 м</t>
    </r>
    <r>
      <rPr>
        <i/>
        <vertAlign val="superscript"/>
        <sz val="11"/>
        <rFont val="Times New Roman"/>
        <family val="1"/>
        <charset val="204"/>
      </rPr>
      <t>3</t>
    </r>
    <r>
      <rPr>
        <i/>
        <sz val="11"/>
        <rFont val="Times New Roman"/>
        <family val="1"/>
        <charset val="204"/>
      </rPr>
      <t xml:space="preserve"> = 45,0 м</t>
    </r>
    <r>
      <rPr>
        <i/>
        <vertAlign val="superscript"/>
        <sz val="11"/>
        <rFont val="Times New Roman"/>
        <family val="1"/>
        <charset val="204"/>
      </rPr>
      <t>3</t>
    </r>
    <r>
      <rPr>
        <i/>
        <sz val="11"/>
        <rFont val="Times New Roman"/>
        <family val="1"/>
        <charset val="204"/>
      </rPr>
      <t xml:space="preserve"> х 4тиж./міс. х 12 міс. =</t>
    </r>
    <r>
      <rPr>
        <b/>
        <i/>
        <sz val="11"/>
        <rFont val="Times New Roman"/>
        <family val="1"/>
        <charset val="204"/>
      </rPr>
      <t xml:space="preserve"> 2 160,0 м</t>
    </r>
    <r>
      <rPr>
        <b/>
        <i/>
        <vertAlign val="superscript"/>
        <sz val="11"/>
        <rFont val="Times New Roman"/>
        <family val="1"/>
        <charset val="204"/>
      </rPr>
      <t>3</t>
    </r>
  </si>
  <si>
    <r>
      <t>ЧЕРНЕЩИНА - 16 конт.    12,0 м</t>
    </r>
    <r>
      <rPr>
        <vertAlign val="superscript"/>
        <sz val="12"/>
        <rFont val="Times New Roman"/>
        <family val="1"/>
        <charset val="204"/>
      </rPr>
      <t xml:space="preserve">3                                                                                                                                                                                                                 </t>
    </r>
    <r>
      <rPr>
        <i/>
        <sz val="12"/>
        <rFont val="Times New Roman"/>
        <family val="1"/>
        <charset val="204"/>
      </rPr>
      <t>16</t>
    </r>
    <r>
      <rPr>
        <sz val="12"/>
        <rFont val="Times New Roman"/>
        <family val="1"/>
        <charset val="204"/>
      </rPr>
      <t xml:space="preserve"> </t>
    </r>
    <r>
      <rPr>
        <i/>
        <sz val="12"/>
        <rFont val="Times New Roman"/>
        <family val="1"/>
        <charset val="204"/>
      </rPr>
      <t>конт. х 0,75м</t>
    </r>
    <r>
      <rPr>
        <i/>
        <vertAlign val="superscript"/>
        <sz val="12"/>
        <rFont val="Times New Roman"/>
        <family val="1"/>
        <charset val="204"/>
      </rPr>
      <t>3</t>
    </r>
    <r>
      <rPr>
        <i/>
        <sz val="12"/>
        <rFont val="Times New Roman"/>
        <family val="1"/>
        <charset val="204"/>
      </rPr>
      <t xml:space="preserve"> = 12,0 м</t>
    </r>
    <r>
      <rPr>
        <i/>
        <vertAlign val="superscript"/>
        <sz val="12"/>
        <rFont val="Times New Roman"/>
        <family val="1"/>
        <charset val="204"/>
      </rPr>
      <t>3</t>
    </r>
    <r>
      <rPr>
        <i/>
        <sz val="12"/>
        <rFont val="Times New Roman"/>
        <family val="1"/>
        <charset val="204"/>
      </rPr>
      <t xml:space="preserve"> х 4тиж./міс. х 12 міс. =</t>
    </r>
    <r>
      <rPr>
        <b/>
        <i/>
        <sz val="12"/>
        <rFont val="Times New Roman"/>
        <family val="1"/>
        <charset val="204"/>
      </rPr>
      <t xml:space="preserve"> 576 м3</t>
    </r>
  </si>
  <si>
    <r>
      <rPr>
        <b/>
        <sz val="12"/>
        <rFont val="Times New Roman"/>
        <family val="1"/>
        <charset val="204"/>
      </rPr>
      <t>Краснокутськ - Дублянка</t>
    </r>
    <r>
      <rPr>
        <sz val="12"/>
        <rFont val="Times New Roman"/>
        <family val="1"/>
        <charset val="204"/>
      </rPr>
      <t xml:space="preserve"> :  вул. Співоча 22;  вул. Шевченка 8;  вул. Ставкова 3А, 4;  вул.Заводська 3;  вул.Польова 1, 6;  </t>
    </r>
    <r>
      <rPr>
        <b/>
        <sz val="12"/>
        <rFont val="Times New Roman"/>
        <family val="1"/>
        <charset val="204"/>
      </rPr>
      <t>Дублянка-Богодухів;</t>
    </r>
    <r>
      <rPr>
        <sz val="12"/>
        <rFont val="Times New Roman"/>
        <family val="1"/>
        <charset val="204"/>
      </rPr>
      <t xml:space="preserve">  </t>
    </r>
    <r>
      <rPr>
        <b/>
        <sz val="12"/>
        <rFont val="Times New Roman"/>
        <family val="1"/>
        <charset val="204"/>
      </rPr>
      <t>Богодухів-Краснокутськ</t>
    </r>
    <r>
      <rPr>
        <sz val="12"/>
        <rFont val="Times New Roman"/>
        <family val="1"/>
        <charset val="204"/>
      </rPr>
      <t xml:space="preserve">  </t>
    </r>
    <r>
      <rPr>
        <b/>
        <sz val="12"/>
        <rFont val="Times New Roman"/>
        <family val="1"/>
        <charset val="204"/>
      </rPr>
      <t>= 135,4 км</t>
    </r>
    <r>
      <rPr>
        <sz val="12"/>
        <rFont val="Times New Roman"/>
        <family val="1"/>
        <charset val="204"/>
      </rPr>
      <t xml:space="preserve">  </t>
    </r>
  </si>
  <si>
    <r>
      <rPr>
        <b/>
        <sz val="12"/>
        <rFont val="Times New Roman"/>
        <family val="1"/>
        <charset val="204"/>
      </rPr>
      <t>Краснокутськ -  Пархомівка</t>
    </r>
    <r>
      <rPr>
        <sz val="12"/>
        <rFont val="Times New Roman"/>
        <family val="1"/>
        <charset val="204"/>
      </rPr>
      <t xml:space="preserve">:   вул. Паркова 1, 10, 16; вул. Садова 5, 20; вул. Перемоги 23;  вул. Докучаєва 2, 15; вул. Стадіонна 29;   вул. Харитоненків 32; </t>
    </r>
    <r>
      <rPr>
        <b/>
        <sz val="12"/>
        <rFont val="Times New Roman"/>
        <family val="1"/>
        <charset val="204"/>
      </rPr>
      <t>Пархомівка-Богодухів;</t>
    </r>
    <r>
      <rPr>
        <sz val="12"/>
        <rFont val="Times New Roman"/>
        <family val="1"/>
        <charset val="204"/>
      </rPr>
      <t xml:space="preserve">  </t>
    </r>
    <r>
      <rPr>
        <b/>
        <sz val="12"/>
        <rFont val="Times New Roman"/>
        <family val="1"/>
        <charset val="204"/>
      </rPr>
      <t>Богодухів-Краснокутськ</t>
    </r>
    <r>
      <rPr>
        <sz val="12"/>
        <rFont val="Times New Roman"/>
        <family val="1"/>
        <charset val="204"/>
      </rPr>
      <t xml:space="preserve">  </t>
    </r>
    <r>
      <rPr>
        <b/>
        <sz val="12"/>
        <rFont val="Times New Roman"/>
        <family val="1"/>
        <charset val="204"/>
      </rPr>
      <t>= 113,42 км</t>
    </r>
    <r>
      <rPr>
        <sz val="12"/>
        <rFont val="Times New Roman"/>
        <family val="1"/>
        <charset val="204"/>
      </rPr>
      <t xml:space="preserve">  </t>
    </r>
  </si>
  <si>
    <r>
      <rPr>
        <b/>
        <sz val="12"/>
        <rFont val="Times New Roman"/>
        <family val="1"/>
        <charset val="204"/>
      </rPr>
      <t>Краснокутськ- Пархомівка:</t>
    </r>
    <r>
      <rPr>
        <sz val="12"/>
        <rFont val="Times New Roman"/>
        <family val="1"/>
        <charset val="204"/>
      </rPr>
      <t xml:space="preserve"> перехр. вул.Івана Малиша 1А- вул.Шевченка 2ул. Молодіжна 1, Івана  Малиша 137,106, вул. Іванівка 3,52,96,108, вул.  Ярославського 33, вул. Гризодубових 8, вул. Північна 2;  </t>
    </r>
    <r>
      <rPr>
        <b/>
        <sz val="12"/>
        <rFont val="Times New Roman"/>
        <family val="1"/>
        <charset val="204"/>
      </rPr>
      <t>Пархомівка-Богодухів;</t>
    </r>
    <r>
      <rPr>
        <sz val="12"/>
        <rFont val="Times New Roman"/>
        <family val="1"/>
        <charset val="204"/>
      </rPr>
      <t xml:space="preserve">  </t>
    </r>
    <r>
      <rPr>
        <b/>
        <sz val="12"/>
        <rFont val="Times New Roman"/>
        <family val="1"/>
        <charset val="204"/>
      </rPr>
      <t>Богодухів-Краснокутськ</t>
    </r>
    <r>
      <rPr>
        <sz val="12"/>
        <rFont val="Times New Roman"/>
        <family val="1"/>
        <charset val="204"/>
      </rPr>
      <t xml:space="preserve">  </t>
    </r>
    <r>
      <rPr>
        <b/>
        <sz val="12"/>
        <rFont val="Times New Roman"/>
        <family val="1"/>
        <charset val="204"/>
      </rPr>
      <t>= 126,4 км</t>
    </r>
    <r>
      <rPr>
        <sz val="12"/>
        <rFont val="Times New Roman"/>
        <family val="1"/>
        <charset val="204"/>
      </rPr>
      <t xml:space="preserve">  </t>
    </r>
  </si>
  <si>
    <r>
      <rPr>
        <b/>
        <sz val="12"/>
        <rFont val="Times New Roman"/>
        <family val="1"/>
        <charset val="204"/>
      </rPr>
      <t>Краснокутськ - Степанівка</t>
    </r>
    <r>
      <rPr>
        <sz val="12"/>
        <rFont val="Times New Roman"/>
        <family val="1"/>
        <charset val="204"/>
      </rPr>
      <t xml:space="preserve"> : вул.Юріївська 1; перехр. вул. Заводська 1-вул. Бабаченка;, вул. Заводська 20; вул. Героїв Охтирки 1; пров. Вишневий 14;    -</t>
    </r>
    <r>
      <rPr>
        <b/>
        <sz val="12"/>
        <rFont val="Times New Roman"/>
        <family val="1"/>
        <charset val="204"/>
      </rPr>
      <t xml:space="preserve"> Пархомівка</t>
    </r>
    <r>
      <rPr>
        <sz val="12"/>
        <rFont val="Times New Roman"/>
        <family val="1"/>
        <charset val="204"/>
      </rPr>
      <t xml:space="preserve">: вул. Євгена Лисенка 1, 3-5. 6А;  вул. Садова 26, ;Ярославського 33; вулл. Гризодубових 8; вул.Іванівка 1, 3, 52, 96, 108;  пров. Світлий 13;  вул.Перемоги 23, 44;  вул.Харитоненків 32;  вул.Козацька 18;  перехр. Козацька - вул.Кленова;  вул. Північна ; вул.Малевича 2;                                                                                                                                                                                                                                                                                                                                                                                                                            </t>
    </r>
    <r>
      <rPr>
        <b/>
        <sz val="12"/>
        <rFont val="Times New Roman"/>
        <family val="1"/>
        <charset val="204"/>
      </rPr>
      <t>Пархомівка-Богодухів;</t>
    </r>
    <r>
      <rPr>
        <sz val="12"/>
        <rFont val="Times New Roman"/>
        <family val="1"/>
        <charset val="204"/>
      </rPr>
      <t xml:space="preserve">  </t>
    </r>
    <r>
      <rPr>
        <b/>
        <sz val="12"/>
        <rFont val="Times New Roman"/>
        <family val="1"/>
        <charset val="204"/>
      </rPr>
      <t>Богодухів-Краснокутськ</t>
    </r>
    <r>
      <rPr>
        <sz val="12"/>
        <rFont val="Times New Roman"/>
        <family val="1"/>
        <charset val="204"/>
      </rPr>
      <t xml:space="preserve">  </t>
    </r>
    <r>
      <rPr>
        <b/>
        <sz val="12"/>
        <rFont val="Times New Roman"/>
        <family val="1"/>
        <charset val="204"/>
      </rPr>
      <t>= 118,2 км</t>
    </r>
    <r>
      <rPr>
        <sz val="12"/>
        <rFont val="Times New Roman"/>
        <family val="1"/>
        <charset val="204"/>
      </rPr>
      <t xml:space="preserve">  </t>
    </r>
  </si>
  <si>
    <r>
      <t>КРАСНОКУТСЬК - 15 конт.   11,25 м</t>
    </r>
    <r>
      <rPr>
        <vertAlign val="superscript"/>
        <sz val="12"/>
        <rFont val="Times New Roman"/>
        <family val="1"/>
        <charset val="204"/>
      </rPr>
      <t xml:space="preserve">3                                                                                                                                                                                                              </t>
    </r>
    <r>
      <rPr>
        <sz val="12"/>
        <rFont val="Times New Roman"/>
        <family val="1"/>
        <charset val="204"/>
      </rPr>
      <t>15</t>
    </r>
    <r>
      <rPr>
        <i/>
        <sz val="11"/>
        <rFont val="Times New Roman"/>
        <family val="1"/>
        <charset val="204"/>
      </rPr>
      <t xml:space="preserve"> конт. х 0,75м</t>
    </r>
    <r>
      <rPr>
        <i/>
        <vertAlign val="superscript"/>
        <sz val="11"/>
        <rFont val="Times New Roman"/>
        <family val="1"/>
        <charset val="204"/>
      </rPr>
      <t xml:space="preserve">3 </t>
    </r>
    <r>
      <rPr>
        <i/>
        <sz val="11"/>
        <rFont val="Times New Roman"/>
        <family val="1"/>
        <charset val="204"/>
      </rPr>
      <t>= 11,25 м</t>
    </r>
    <r>
      <rPr>
        <i/>
        <vertAlign val="superscript"/>
        <sz val="11"/>
        <rFont val="Times New Roman"/>
        <family val="1"/>
        <charset val="204"/>
      </rPr>
      <t>3</t>
    </r>
    <r>
      <rPr>
        <i/>
        <sz val="11"/>
        <rFont val="Times New Roman"/>
        <family val="1"/>
        <charset val="204"/>
      </rPr>
      <t xml:space="preserve"> х 4 тиж./міс. х 12 міс. =</t>
    </r>
    <r>
      <rPr>
        <b/>
        <i/>
        <sz val="11"/>
        <rFont val="Times New Roman"/>
        <family val="1"/>
        <charset val="204"/>
      </rPr>
      <t>540 м</t>
    </r>
    <r>
      <rPr>
        <b/>
        <i/>
        <vertAlign val="superscript"/>
        <sz val="11"/>
        <rFont val="Times New Roman"/>
        <family val="1"/>
        <charset val="204"/>
      </rPr>
      <t>3</t>
    </r>
  </si>
  <si>
    <r>
      <t>545 конт. *0,75 м3 = 408,75 м</t>
    </r>
    <r>
      <rPr>
        <vertAlign val="superscript"/>
        <sz val="12"/>
        <rFont val="Arial Cyr"/>
        <charset val="204"/>
      </rPr>
      <t xml:space="preserve">3* </t>
    </r>
    <r>
      <rPr>
        <sz val="12"/>
        <rFont val="Arial Cyr"/>
        <charset val="204"/>
      </rPr>
      <t>4 тиж/міс.</t>
    </r>
    <r>
      <rPr>
        <vertAlign val="superscript"/>
        <sz val="12"/>
        <rFont val="Arial Cyr"/>
        <charset val="204"/>
      </rPr>
      <t xml:space="preserve"> * </t>
    </r>
    <r>
      <rPr>
        <sz val="12"/>
        <rFont val="Arial Cyr"/>
        <charset val="204"/>
      </rPr>
      <t>12 міс. = 19 620 м</t>
    </r>
    <r>
      <rPr>
        <vertAlign val="superscript"/>
        <sz val="12"/>
        <rFont val="Arial Cyr"/>
        <charset val="204"/>
      </rPr>
      <t>3</t>
    </r>
  </si>
  <si>
    <t>МАЗ 4571Р2</t>
  </si>
  <si>
    <t>ГАЗ 3309-354</t>
  </si>
  <si>
    <t>СКС 1,02</t>
  </si>
  <si>
    <t>СБМ 304/2</t>
  </si>
  <si>
    <t>СБМ 601/2</t>
  </si>
  <si>
    <t xml:space="preserve">                МАЗ 3457</t>
  </si>
  <si>
    <t>ГАЗ 3309</t>
  </si>
  <si>
    <r>
      <rPr>
        <b/>
        <sz val="12"/>
        <rFont val="Times New Roman"/>
        <family val="1"/>
        <charset val="204"/>
      </rPr>
      <t xml:space="preserve">Краснокутськ </t>
    </r>
    <r>
      <rPr>
        <sz val="12"/>
        <rFont val="Times New Roman"/>
        <family val="1"/>
        <charset val="204"/>
      </rPr>
      <t>: вул. Шевченка 55, вул. Вигінчанська 41, 49, 55 ,57Б, вул. Ювілейна 1,  вул. Героїв Краснокутщини 70, вул.Трудова, парк СХТ, вул. Шевченка-перехрестя  Охтирська, Охтирська-Ярова, , Охтирська19, Охтирська 5, Охтирська 8, Охтирська 1, переулок Охтирська Захисників України, вул. Шевченка-Охтирська, Трудова 35, Героїв Краснокутщини 47, вул. Шевченка 106, вул. Охтирська і пров. Український, вул. Вигічанська 43, вул.Шевченка 85, вул Вигічанська (</t>
    </r>
    <r>
      <rPr>
        <sz val="9"/>
        <rFont val="Times New Roman"/>
        <family val="1"/>
        <charset val="204"/>
      </rPr>
      <t>напр.24)</t>
    </r>
    <r>
      <rPr>
        <sz val="12"/>
        <rFont val="Times New Roman"/>
        <family val="1"/>
        <charset val="204"/>
      </rPr>
      <t xml:space="preserve"> . вул. Захисників України 1:  </t>
    </r>
    <r>
      <rPr>
        <b/>
        <sz val="12"/>
        <rFont val="Times New Roman"/>
        <family val="1"/>
        <charset val="204"/>
      </rPr>
      <t>Краснокутськ-Богодухів;</t>
    </r>
    <r>
      <rPr>
        <sz val="12"/>
        <rFont val="Times New Roman"/>
        <family val="1"/>
        <charset val="204"/>
      </rPr>
      <t xml:space="preserve">  </t>
    </r>
    <r>
      <rPr>
        <b/>
        <sz val="12"/>
        <rFont val="Times New Roman"/>
        <family val="1"/>
        <charset val="204"/>
      </rPr>
      <t>Богодухів-Краснокутськ</t>
    </r>
    <r>
      <rPr>
        <sz val="12"/>
        <rFont val="Times New Roman"/>
        <family val="1"/>
        <charset val="204"/>
      </rPr>
      <t xml:space="preserve">  </t>
    </r>
    <r>
      <rPr>
        <b/>
        <sz val="12"/>
        <rFont val="Times New Roman"/>
        <family val="1"/>
        <charset val="204"/>
      </rPr>
      <t>= 119,5 км</t>
    </r>
    <r>
      <rPr>
        <sz val="12"/>
        <rFont val="Times New Roman"/>
        <family val="1"/>
        <charset val="204"/>
      </rPr>
      <t xml:space="preserve">  </t>
    </r>
  </si>
  <si>
    <r>
      <rPr>
        <b/>
        <sz val="12"/>
        <color theme="1"/>
        <rFont val="Times New Roman"/>
        <family val="1"/>
        <charset val="204"/>
      </rPr>
      <t xml:space="preserve">Краснокутськ - Любівка </t>
    </r>
    <r>
      <rPr>
        <sz val="12"/>
        <color theme="1"/>
        <rFont val="Times New Roman"/>
        <family val="1"/>
        <charset val="204"/>
      </rPr>
      <t xml:space="preserve">: вул.Слобожанська 53, 113,135Б,166, 227А, 235 , вул. Джерельна 37, вул. Леоніда Каденюка 10. вул.Слобожанська 16, вул. Джерельна 37, вул. Лесі Українки 10, вул.Миколи Сургая 3, Молодіжна 31. </t>
    </r>
    <r>
      <rPr>
        <b/>
        <sz val="12"/>
        <color theme="1"/>
        <rFont val="Times New Roman"/>
        <family val="1"/>
        <charset val="204"/>
      </rPr>
      <t>Любівка- Богодухів; Богодухів -Краснокутськ = 132,6 км.</t>
    </r>
  </si>
  <si>
    <r>
      <rPr>
        <b/>
        <sz val="12"/>
        <rFont val="Times New Roman"/>
        <family val="1"/>
        <charset val="204"/>
      </rPr>
      <t>Краснокутськ - Колонтаїв</t>
    </r>
    <r>
      <rPr>
        <sz val="12"/>
        <rFont val="Times New Roman"/>
        <family val="1"/>
        <charset val="204"/>
      </rPr>
      <t xml:space="preserve">:  вул. Центральна 25, 47, 103, 132, 150, 162, 157, 113, 58, 87, 158, 165, 50, 106, 213,  вул. Берегова 17, 20, 55,  перехр. Вул.Центральна - пров. Широкий -пров. Основинський - вул.Римарська,  перехр. вул. Центральна 138 - вул. Світла, вул.Таранівська 1, вул.Набережна 12, вул. Ельзи Сербінової 4,  вул. Вчительська.  </t>
    </r>
    <r>
      <rPr>
        <b/>
        <sz val="12"/>
        <rFont val="Times New Roman"/>
        <family val="1"/>
        <charset val="204"/>
      </rPr>
      <t>Колонтаїв-Богодухів;</t>
    </r>
    <r>
      <rPr>
        <sz val="12"/>
        <rFont val="Times New Roman"/>
        <family val="1"/>
        <charset val="204"/>
      </rPr>
      <t xml:space="preserve">  </t>
    </r>
    <r>
      <rPr>
        <b/>
        <sz val="12"/>
        <rFont val="Times New Roman"/>
        <family val="1"/>
        <charset val="204"/>
      </rPr>
      <t>Богодухів-Краснокутськ</t>
    </r>
    <r>
      <rPr>
        <sz val="12"/>
        <rFont val="Times New Roman"/>
        <family val="1"/>
        <charset val="204"/>
      </rPr>
      <t xml:space="preserve">  </t>
    </r>
    <r>
      <rPr>
        <b/>
        <sz val="12"/>
        <rFont val="Times New Roman"/>
        <family val="1"/>
        <charset val="204"/>
      </rPr>
      <t>=</t>
    </r>
    <r>
      <rPr>
        <sz val="12"/>
        <rFont val="Times New Roman"/>
        <family val="1"/>
        <charset val="204"/>
      </rPr>
      <t xml:space="preserve"> </t>
    </r>
    <r>
      <rPr>
        <b/>
        <sz val="12"/>
        <rFont val="Times New Roman"/>
        <family val="1"/>
        <charset val="204"/>
      </rPr>
      <t xml:space="preserve">156,9 км  </t>
    </r>
  </si>
  <si>
    <r>
      <rPr>
        <b/>
        <sz val="12"/>
        <color theme="1"/>
        <rFont val="Times New Roman"/>
        <family val="1"/>
        <charset val="204"/>
      </rPr>
      <t>Краснокутськ - Колонтаїв</t>
    </r>
    <r>
      <rPr>
        <sz val="12"/>
        <color theme="1"/>
        <rFont val="Times New Roman"/>
        <family val="1"/>
        <charset val="204"/>
      </rPr>
      <t xml:space="preserve">:  вул. Берегова 17,20,55, вул. Садова, вул. Підгорна, пров. Широкий </t>
    </r>
    <r>
      <rPr>
        <b/>
        <sz val="12"/>
        <color theme="1"/>
        <rFont val="Times New Roman"/>
        <family val="1"/>
        <charset val="204"/>
      </rPr>
      <t>Колонтаїв-Богодухів;</t>
    </r>
    <r>
      <rPr>
        <sz val="12"/>
        <color theme="1"/>
        <rFont val="Times New Roman"/>
        <family val="1"/>
        <charset val="204"/>
      </rPr>
      <t xml:space="preserve">  </t>
    </r>
    <r>
      <rPr>
        <b/>
        <sz val="12"/>
        <color theme="1"/>
        <rFont val="Times New Roman"/>
        <family val="1"/>
        <charset val="204"/>
      </rPr>
      <t>Богодухів-Краснокутськ</t>
    </r>
    <r>
      <rPr>
        <sz val="12"/>
        <color theme="1"/>
        <rFont val="Times New Roman"/>
        <family val="1"/>
        <charset val="204"/>
      </rPr>
      <t xml:space="preserve">  </t>
    </r>
    <r>
      <rPr>
        <b/>
        <sz val="12"/>
        <color theme="1"/>
        <rFont val="Times New Roman"/>
        <family val="1"/>
        <charset val="204"/>
      </rPr>
      <t>=</t>
    </r>
    <r>
      <rPr>
        <sz val="12"/>
        <color theme="1"/>
        <rFont val="Times New Roman"/>
        <family val="1"/>
        <charset val="204"/>
      </rPr>
      <t xml:space="preserve"> </t>
    </r>
    <r>
      <rPr>
        <b/>
        <sz val="12"/>
        <color theme="1"/>
        <rFont val="Times New Roman"/>
        <family val="1"/>
        <charset val="204"/>
      </rPr>
      <t xml:space="preserve">142,3 км  </t>
    </r>
  </si>
  <si>
    <t xml:space="preserve">              ГАЗ 3309</t>
  </si>
  <si>
    <t xml:space="preserve">СБМ 601/2 </t>
  </si>
  <si>
    <t>Пильнянка - Богодудухів -Краснокутськ -  139,7 км.</t>
  </si>
  <si>
    <r>
      <rPr>
        <b/>
        <sz val="12"/>
        <rFont val="Times New Roman"/>
        <family val="1"/>
        <charset val="204"/>
      </rPr>
      <t>Краснокутськ - Пархомівка</t>
    </r>
    <r>
      <rPr>
        <sz val="12"/>
        <rFont val="Times New Roman"/>
        <family val="1"/>
        <charset val="204"/>
      </rPr>
      <t xml:space="preserve">:  Івана Малиша 9, 37, 58, 63, 76, 106, 130, 170 вул. Декришивська 1, 29;, вул. Лісова 2; вул. Кооперативна 12; вул. Заводська 1, 13, 33, вул. Івана Кошкарьова 28, вул. Панаса Луньова 4, 22, 41, 49, 51, 69, 81, 88 97, 109;  </t>
    </r>
    <r>
      <rPr>
        <b/>
        <sz val="12"/>
        <rFont val="Times New Roman"/>
        <family val="1"/>
        <charset val="204"/>
      </rPr>
      <t>Пархомівка-Богодухів;</t>
    </r>
    <r>
      <rPr>
        <sz val="12"/>
        <rFont val="Times New Roman"/>
        <family val="1"/>
        <charset val="204"/>
      </rPr>
      <t xml:space="preserve">  </t>
    </r>
    <r>
      <rPr>
        <b/>
        <sz val="12"/>
        <rFont val="Times New Roman"/>
        <family val="1"/>
        <charset val="204"/>
      </rPr>
      <t>Богодухів-Краснокутськ</t>
    </r>
    <r>
      <rPr>
        <sz val="12"/>
        <rFont val="Times New Roman"/>
        <family val="1"/>
        <charset val="204"/>
      </rPr>
      <t xml:space="preserve">  </t>
    </r>
    <r>
      <rPr>
        <b/>
        <sz val="12"/>
        <rFont val="Times New Roman"/>
        <family val="1"/>
        <charset val="204"/>
      </rPr>
      <t>= 129,4 км</t>
    </r>
    <r>
      <rPr>
        <sz val="12"/>
        <rFont val="Times New Roman"/>
        <family val="1"/>
        <charset val="204"/>
      </rPr>
      <t xml:space="preserve">  </t>
    </r>
  </si>
  <si>
    <r>
      <rPr>
        <b/>
        <sz val="12"/>
        <rFont val="Times New Roman"/>
        <family val="1"/>
        <charset val="204"/>
      </rPr>
      <t xml:space="preserve">Краснокутськ </t>
    </r>
    <r>
      <rPr>
        <sz val="12"/>
        <rFont val="Times New Roman"/>
        <family val="1"/>
        <charset val="204"/>
      </rPr>
      <t xml:space="preserve">: вул. Миру 310,309,277,246, вуд. Миру-пров. Єдності 1, вул. Єдності 41, вул. Шевченка,  вул. Шкільна,  вул. Єдності 84, вул. Миру 208, пров. Тінистий, вул. Лесі Українки - пров. Базилевича, пров. Затишний, вул. Миру 324:  </t>
    </r>
    <r>
      <rPr>
        <b/>
        <sz val="12"/>
        <rFont val="Times New Roman"/>
        <family val="1"/>
        <charset val="204"/>
      </rPr>
      <t>Краснокутськ-Богодухів;</t>
    </r>
    <r>
      <rPr>
        <sz val="12"/>
        <rFont val="Times New Roman"/>
        <family val="1"/>
        <charset val="204"/>
      </rPr>
      <t xml:space="preserve">  </t>
    </r>
    <r>
      <rPr>
        <b/>
        <sz val="12"/>
        <rFont val="Times New Roman"/>
        <family val="1"/>
        <charset val="204"/>
      </rPr>
      <t>Богодухів-Краснокутськ</t>
    </r>
    <r>
      <rPr>
        <sz val="12"/>
        <rFont val="Times New Roman"/>
        <family val="1"/>
        <charset val="204"/>
      </rPr>
      <t xml:space="preserve">  </t>
    </r>
    <r>
      <rPr>
        <b/>
        <sz val="12"/>
        <rFont val="Times New Roman"/>
        <family val="1"/>
        <charset val="204"/>
      </rPr>
      <t>= 114,3 км</t>
    </r>
    <r>
      <rPr>
        <sz val="12"/>
        <rFont val="Times New Roman"/>
        <family val="1"/>
        <charset val="204"/>
      </rPr>
      <t xml:space="preserve">  </t>
    </r>
  </si>
  <si>
    <r>
      <rPr>
        <b/>
        <sz val="12"/>
        <rFont val="Times New Roman"/>
        <family val="1"/>
        <charset val="204"/>
      </rPr>
      <t xml:space="preserve">Краснокутськ </t>
    </r>
    <r>
      <rPr>
        <sz val="12"/>
        <rFont val="Times New Roman"/>
        <family val="1"/>
        <charset val="204"/>
      </rPr>
      <t xml:space="preserve">: вул. Базарна 1, вул. Ярова-Пригородній, вул. Сонячна-пров. Світлий, провул. Шкільний 20, вул. Основ'янська 1, вул. Миру-Горянська, пров. Городищанськмй 8, пров. Сонячний-Захисників України, пров. Кооперативний 1, вул. Захисників України 18, вул. Єддності, провул. Швейпромівський 1,  вул.Єдності 93,  вул.Єдності і пров. Швейпромівський,  пров. Злагоди 3:  </t>
    </r>
    <r>
      <rPr>
        <b/>
        <sz val="12"/>
        <rFont val="Times New Roman"/>
        <family val="1"/>
        <charset val="204"/>
      </rPr>
      <t>Краснокутськ-Богодухів;</t>
    </r>
    <r>
      <rPr>
        <sz val="12"/>
        <rFont val="Times New Roman"/>
        <family val="1"/>
        <charset val="204"/>
      </rPr>
      <t xml:space="preserve">  </t>
    </r>
    <r>
      <rPr>
        <b/>
        <sz val="12"/>
        <rFont val="Times New Roman"/>
        <family val="1"/>
        <charset val="204"/>
      </rPr>
      <t>Богодухів-Краснокутськ</t>
    </r>
    <r>
      <rPr>
        <sz val="12"/>
        <rFont val="Times New Roman"/>
        <family val="1"/>
        <charset val="204"/>
      </rPr>
      <t xml:space="preserve">  </t>
    </r>
    <r>
      <rPr>
        <b/>
        <sz val="12"/>
        <rFont val="Times New Roman"/>
        <family val="1"/>
        <charset val="204"/>
      </rPr>
      <t>= 118,9 км</t>
    </r>
    <r>
      <rPr>
        <sz val="12"/>
        <rFont val="Times New Roman"/>
        <family val="1"/>
        <charset val="204"/>
      </rPr>
      <t xml:space="preserve">  </t>
    </r>
  </si>
  <si>
    <t xml:space="preserve">СБМ 304/2 </t>
  </si>
  <si>
    <t xml:space="preserve">СКС-1,02 </t>
  </si>
  <si>
    <t xml:space="preserve">ГАЗ 3309-354 </t>
  </si>
  <si>
    <r>
      <rPr>
        <b/>
        <sz val="12"/>
        <rFont val="Times New Roman"/>
        <family val="1"/>
        <charset val="204"/>
      </rPr>
      <t>Краснокутськ - Петрівське</t>
    </r>
    <r>
      <rPr>
        <sz val="12"/>
        <rFont val="Times New Roman"/>
        <family val="1"/>
        <charset val="204"/>
      </rPr>
      <t xml:space="preserve"> : вул.Грушевського 1А -</t>
    </r>
    <r>
      <rPr>
        <b/>
        <sz val="12"/>
        <rFont val="Times New Roman"/>
        <family val="1"/>
        <charset val="204"/>
      </rPr>
      <t xml:space="preserve"> Качалівка</t>
    </r>
    <r>
      <rPr>
        <sz val="12"/>
        <rFont val="Times New Roman"/>
        <family val="1"/>
        <charset val="204"/>
      </rPr>
      <t xml:space="preserve">: вул. Сидорова 4, 19; вул. Шкільна 7, 43А, вул. Червона 38, 74;  вул. Лісова 11, 49;  перехр. вул. Барвінкова 21, - пров. Барвінковий; вул. Центральна 54, 89; вул. Китченка 1, 11Б, 52, 76А; вул.  Карайкозівська 15; вул. Вишнева 44; вул. Шевченка 21, вул. Ніколаєва 21;                                                                                                                                                                                       </t>
    </r>
    <r>
      <rPr>
        <b/>
        <sz val="12"/>
        <rFont val="Times New Roman"/>
        <family val="1"/>
        <charset val="204"/>
      </rPr>
      <t>Качалівка-Богодухів;</t>
    </r>
    <r>
      <rPr>
        <sz val="12"/>
        <rFont val="Times New Roman"/>
        <family val="1"/>
        <charset val="204"/>
      </rPr>
      <t xml:space="preserve">  </t>
    </r>
    <r>
      <rPr>
        <b/>
        <sz val="12"/>
        <rFont val="Times New Roman"/>
        <family val="1"/>
        <charset val="204"/>
      </rPr>
      <t>Богодухів-Краснокутськ</t>
    </r>
    <r>
      <rPr>
        <sz val="12"/>
        <rFont val="Times New Roman"/>
        <family val="1"/>
        <charset val="204"/>
      </rPr>
      <t xml:space="preserve">  </t>
    </r>
    <r>
      <rPr>
        <b/>
        <sz val="12"/>
        <rFont val="Times New Roman"/>
        <family val="1"/>
        <charset val="204"/>
      </rPr>
      <t>= 116,7 км</t>
    </r>
    <r>
      <rPr>
        <sz val="12"/>
        <rFont val="Times New Roman"/>
        <family val="1"/>
        <charset val="204"/>
      </rPr>
      <t xml:space="preserve">  </t>
    </r>
  </si>
  <si>
    <r>
      <rPr>
        <b/>
        <sz val="12"/>
        <rFont val="Times New Roman"/>
        <family val="1"/>
        <charset val="204"/>
      </rPr>
      <t>Краснокутськ - Водяне</t>
    </r>
    <r>
      <rPr>
        <sz val="12"/>
        <rFont val="Times New Roman"/>
        <family val="1"/>
        <charset val="204"/>
      </rPr>
      <t xml:space="preserve">: вул.Миру 3, 22, 41, 77, 93, 125, 153,;  перехр. вул. Степова- пров. Свободи 10; вул. Підлісна 40;  </t>
    </r>
    <r>
      <rPr>
        <b/>
        <sz val="12"/>
        <rFont val="Times New Roman"/>
        <family val="1"/>
        <charset val="204"/>
      </rPr>
      <t>Водяна-Богодухів;</t>
    </r>
    <r>
      <rPr>
        <sz val="12"/>
        <rFont val="Times New Roman"/>
        <family val="1"/>
        <charset val="204"/>
      </rPr>
      <t xml:space="preserve">  </t>
    </r>
    <r>
      <rPr>
        <b/>
        <sz val="12"/>
        <rFont val="Times New Roman"/>
        <family val="1"/>
        <charset val="204"/>
      </rPr>
      <t>Богодухів-Краснокутськ</t>
    </r>
    <r>
      <rPr>
        <sz val="12"/>
        <rFont val="Times New Roman"/>
        <family val="1"/>
        <charset val="204"/>
      </rPr>
      <t xml:space="preserve">  </t>
    </r>
    <r>
      <rPr>
        <b/>
        <sz val="12"/>
        <rFont val="Times New Roman"/>
        <family val="1"/>
        <charset val="204"/>
      </rPr>
      <t>= 140,3 км</t>
    </r>
    <r>
      <rPr>
        <sz val="12"/>
        <rFont val="Times New Roman"/>
        <family val="1"/>
        <charset val="204"/>
      </rPr>
      <t xml:space="preserve">  </t>
    </r>
  </si>
  <si>
    <r>
      <rPr>
        <b/>
        <sz val="12"/>
        <rFont val="Times New Roman"/>
        <family val="1"/>
        <charset val="204"/>
      </rPr>
      <t>Краснокутськ - Олексіївка</t>
    </r>
    <r>
      <rPr>
        <sz val="12"/>
        <rFont val="Times New Roman"/>
        <family val="1"/>
        <charset val="204"/>
      </rPr>
      <t xml:space="preserve"> : вул.Центральна 2, 20А, 21;  вул. Центральна- вул.Тичини; вул. Центральна- вул.Шкільна 1; вул. Центральна- вул. Вишнева 22;  вул. Центральна- вул. Широка 2; вул, Широка- вул. Черемушна 13;  перехр.  вул. Черемушна-пров. Центральний 3; перехр. вул.Черемушна - вул. Шкільна;  перехр. вул. Тичини - вул. Степова;  вул.Тичини 4;  перехр. вул.Івана Франко №9 -вул. Миру 43;  перехр. вул.Вишнева - вул. Черемушна №51;  вул. Миру 11,  27; </t>
    </r>
    <r>
      <rPr>
        <b/>
        <sz val="12"/>
        <rFont val="Times New Roman"/>
        <family val="1"/>
        <charset val="204"/>
      </rPr>
      <t>Олексіївка-Богодухів;</t>
    </r>
    <r>
      <rPr>
        <sz val="12"/>
        <rFont val="Times New Roman"/>
        <family val="1"/>
        <charset val="204"/>
      </rPr>
      <t xml:space="preserve">  </t>
    </r>
    <r>
      <rPr>
        <b/>
        <sz val="12"/>
        <rFont val="Times New Roman"/>
        <family val="1"/>
        <charset val="204"/>
      </rPr>
      <t>Богодухів-Краснокутськ</t>
    </r>
    <r>
      <rPr>
        <sz val="12"/>
        <rFont val="Times New Roman"/>
        <family val="1"/>
        <charset val="204"/>
      </rPr>
      <t xml:space="preserve">  </t>
    </r>
    <r>
      <rPr>
        <b/>
        <sz val="12"/>
        <rFont val="Times New Roman"/>
        <family val="1"/>
        <charset val="204"/>
      </rPr>
      <t>= 148,9 км</t>
    </r>
    <r>
      <rPr>
        <sz val="12"/>
        <rFont val="Times New Roman"/>
        <family val="1"/>
        <charset val="204"/>
      </rPr>
      <t xml:space="preserve">  </t>
    </r>
  </si>
  <si>
    <r>
      <rPr>
        <b/>
        <sz val="12"/>
        <rFont val="Times New Roman"/>
        <family val="1"/>
        <charset val="204"/>
      </rPr>
      <t xml:space="preserve">Краснокутськ </t>
    </r>
    <r>
      <rPr>
        <sz val="12"/>
        <rFont val="Times New Roman"/>
        <family val="1"/>
        <charset val="204"/>
      </rPr>
      <t xml:space="preserve">: вул. Паркова 4,8,13, пров. Крутий, Підворічанський 31, Перехрестя Горянська-Садова, пров. Злагоди 3, вул. Миру 208, вул. Молодіжна, провул. Охтирський вул.Горянська 20-А,  вул.Трудова 35, вул.Трудова 4, вул. Героїв Краснокутщини 21:  </t>
    </r>
    <r>
      <rPr>
        <b/>
        <sz val="12"/>
        <rFont val="Times New Roman"/>
        <family val="1"/>
        <charset val="204"/>
      </rPr>
      <t>Краснокутськ-Богодухів;</t>
    </r>
    <r>
      <rPr>
        <sz val="12"/>
        <rFont val="Times New Roman"/>
        <family val="1"/>
        <charset val="204"/>
      </rPr>
      <t xml:space="preserve">  </t>
    </r>
    <r>
      <rPr>
        <b/>
        <sz val="12"/>
        <rFont val="Times New Roman"/>
        <family val="1"/>
        <charset val="204"/>
      </rPr>
      <t>Богодухів-Краснокутськ</t>
    </r>
    <r>
      <rPr>
        <sz val="12"/>
        <rFont val="Times New Roman"/>
        <family val="1"/>
        <charset val="204"/>
      </rPr>
      <t xml:space="preserve">  </t>
    </r>
    <r>
      <rPr>
        <b/>
        <sz val="12"/>
        <rFont val="Times New Roman"/>
        <family val="1"/>
        <charset val="204"/>
      </rPr>
      <t>= 108,7 км</t>
    </r>
    <r>
      <rPr>
        <sz val="12"/>
        <rFont val="Times New Roman"/>
        <family val="1"/>
        <charset val="204"/>
      </rPr>
      <t xml:space="preserve">  </t>
    </r>
  </si>
  <si>
    <r>
      <rPr>
        <b/>
        <sz val="12"/>
        <rFont val="Times New Roman"/>
        <family val="1"/>
        <charset val="204"/>
      </rPr>
      <t>Краснокутськ - Рябоконево</t>
    </r>
    <r>
      <rPr>
        <sz val="12"/>
        <rFont val="Times New Roman"/>
        <family val="1"/>
        <charset val="204"/>
      </rPr>
      <t xml:space="preserve">: вул. Центральна №13, вул. Яблунева №1,  вул. Яблунева №14, вул. Українська №1, вул.Українська №19, пров. Український №11, вул. Молодіжна №6,  вул. Молодіжна №25, вул.Нова №1. вул. Нова №20  </t>
    </r>
    <r>
      <rPr>
        <b/>
        <sz val="12"/>
        <rFont val="Times New Roman"/>
        <family val="1"/>
        <charset val="204"/>
      </rPr>
      <t>Рябоконево-Богодухів;</t>
    </r>
    <r>
      <rPr>
        <sz val="12"/>
        <rFont val="Times New Roman"/>
        <family val="1"/>
        <charset val="204"/>
      </rPr>
      <t xml:space="preserve">  </t>
    </r>
    <r>
      <rPr>
        <b/>
        <sz val="12"/>
        <rFont val="Times New Roman"/>
        <family val="1"/>
        <charset val="204"/>
      </rPr>
      <t>Богодухів-Краснокутськ</t>
    </r>
    <r>
      <rPr>
        <sz val="12"/>
        <rFont val="Times New Roman"/>
        <family val="1"/>
        <charset val="204"/>
      </rPr>
      <t xml:space="preserve">  </t>
    </r>
    <r>
      <rPr>
        <b/>
        <sz val="12"/>
        <rFont val="Times New Roman"/>
        <family val="1"/>
        <charset val="204"/>
      </rPr>
      <t xml:space="preserve">= 154,7 км  </t>
    </r>
  </si>
  <si>
    <t>СБМ 304/2            МАЗ 4571,              СБМ 601/2,              СКС 1,02.</t>
  </si>
  <si>
    <r>
      <rPr>
        <b/>
        <sz val="12"/>
        <rFont val="Times New Roman"/>
        <family val="1"/>
        <charset val="204"/>
      </rPr>
      <t>Краснокутськ - Городнє</t>
    </r>
    <r>
      <rPr>
        <sz val="12"/>
        <rFont val="Times New Roman"/>
        <family val="1"/>
        <charset val="204"/>
      </rPr>
      <t xml:space="preserve"> : вул.Співоча, вул. Центральна 3, 7, 10, 11, вул Шевченка  1, 2, 27А, 39, 52, 83, 88, 100, </t>
    </r>
    <r>
      <rPr>
        <sz val="10"/>
        <rFont val="Times New Roman"/>
        <family val="1"/>
        <charset val="204"/>
      </rPr>
      <t>перех.</t>
    </r>
    <r>
      <rPr>
        <sz val="12"/>
        <rFont val="Times New Roman"/>
        <family val="1"/>
        <charset val="204"/>
      </rPr>
      <t xml:space="preserve"> вул. Шевченка - пров. Шевченка,  вул. Спортивна 9,  вул. Новостроївська 2, 17,  вул. Кленова 16,; </t>
    </r>
    <r>
      <rPr>
        <b/>
        <sz val="12"/>
        <rFont val="Times New Roman"/>
        <family val="1"/>
        <charset val="204"/>
      </rPr>
      <t xml:space="preserve"> Козіївка</t>
    </r>
    <r>
      <rPr>
        <sz val="12"/>
        <rFont val="Times New Roman"/>
        <family val="1"/>
        <charset val="204"/>
      </rPr>
      <t xml:space="preserve">: вул.Слобожанська  40, 42, 53, 59,  70, 89, 161, 163, 195, 203, 229;  перехр. вул. Слобожанська №205 - вул. Козацька; перехр. вул. Слобожанська №9 - вул.Миру;  перехр. вул. Слобожанська №106 -вул. Козацька;   вул. Покровська 4, 19, 24;  вул. Шевченка  51, 61, перехр. вул. Спортивна - вул. Шевченка2А, перехр. вул. Шевченка №103 -вул. Лісова,; перехр. вул.Шевченка - вул. Сороківська;  перехр. вул. Шевченка- вул. Польова;    перехр. вул.  </t>
    </r>
    <r>
      <rPr>
        <sz val="12"/>
        <color theme="1"/>
        <rFont val="Times New Roman"/>
        <family val="1"/>
        <charset val="204"/>
      </rPr>
      <t xml:space="preserve">Драгунівська 15 - с. Каплунівка;  вул. Драгунівська 1,  35, 39, 74,;   вул. Сороківська 2, 45,;  вул.Вільна 2;  вул. Спортивна 3, 18, 21; перехр. вул.Споривна - вул. Миру;  вул. Перемоги  32, 40; вул. Травнева 7;  вул.Миру 24;  вул.Польова №12; пров. Чистий 1;   вул.Садова 8;  вул. Новоселівська 14, 37; </t>
    </r>
    <r>
      <rPr>
        <b/>
        <sz val="12"/>
        <color theme="1"/>
        <rFont val="Times New Roman"/>
        <family val="1"/>
        <charset val="204"/>
      </rPr>
      <t>Козіївка -Богодухів Богодухів-Краснокутськ</t>
    </r>
    <r>
      <rPr>
        <sz val="12"/>
        <color theme="1"/>
        <rFont val="Times New Roman"/>
        <family val="1"/>
        <charset val="204"/>
      </rPr>
      <t xml:space="preserve">  </t>
    </r>
    <r>
      <rPr>
        <b/>
        <sz val="12"/>
        <color theme="1"/>
        <rFont val="Times New Roman"/>
        <family val="1"/>
        <charset val="204"/>
      </rPr>
      <t>=  СБМ 304/2 -106,4 км, СБМ 601/2 -108,7 км, МАЗ 4571 -103,1 км, СКС 1,02 - 101,5 км.</t>
    </r>
    <r>
      <rPr>
        <sz val="12"/>
        <color theme="1"/>
        <rFont val="Times New Roman"/>
        <family val="1"/>
        <charset val="204"/>
      </rPr>
      <t xml:space="preserve">  </t>
    </r>
  </si>
  <si>
    <r>
      <rPr>
        <b/>
        <sz val="12"/>
        <rFont val="Times New Roman"/>
        <family val="1"/>
        <charset val="204"/>
      </rPr>
      <t xml:space="preserve">Краснокутськ </t>
    </r>
    <r>
      <rPr>
        <sz val="12"/>
        <rFont val="Times New Roman"/>
        <family val="1"/>
        <charset val="204"/>
      </rPr>
      <t xml:space="preserve">: вул. Миру 25,64,70,39,84,88,55,  вул. Захисників України 12- 14, вул.Берегова, </t>
    </r>
    <r>
      <rPr>
        <sz val="10"/>
        <rFont val="Times New Roman"/>
        <family val="1"/>
        <charset val="204"/>
      </rPr>
      <t>поворот до</t>
    </r>
    <r>
      <rPr>
        <sz val="12"/>
        <rFont val="Times New Roman"/>
        <family val="1"/>
        <charset val="204"/>
      </rPr>
      <t xml:space="preserve">  вул. Миру,  вул.Лугова (</t>
    </r>
    <r>
      <rPr>
        <sz val="10"/>
        <rFont val="Times New Roman"/>
        <family val="1"/>
        <charset val="204"/>
      </rPr>
      <t xml:space="preserve"> 14-16),  </t>
    </r>
    <r>
      <rPr>
        <sz val="12"/>
        <rFont val="Times New Roman"/>
        <family val="1"/>
        <charset val="204"/>
      </rPr>
      <t xml:space="preserve">вул. Захисників України, 24:  </t>
    </r>
    <r>
      <rPr>
        <b/>
        <sz val="12"/>
        <rFont val="Times New Roman"/>
        <family val="1"/>
        <charset val="204"/>
      </rPr>
      <t>Краснокутськ-Богодухів;</t>
    </r>
    <r>
      <rPr>
        <sz val="12"/>
        <rFont val="Times New Roman"/>
        <family val="1"/>
        <charset val="204"/>
      </rPr>
      <t xml:space="preserve">  </t>
    </r>
    <r>
      <rPr>
        <b/>
        <sz val="12"/>
        <rFont val="Times New Roman"/>
        <family val="1"/>
        <charset val="204"/>
      </rPr>
      <t>Богодухів-Краснокутськ</t>
    </r>
    <r>
      <rPr>
        <sz val="12"/>
        <rFont val="Times New Roman"/>
        <family val="1"/>
        <charset val="204"/>
      </rPr>
      <t xml:space="preserve">  </t>
    </r>
    <r>
      <rPr>
        <b/>
        <sz val="12"/>
        <rFont val="Times New Roman"/>
        <family val="1"/>
        <charset val="204"/>
      </rPr>
      <t>= 95,2 км</t>
    </r>
    <r>
      <rPr>
        <sz val="12"/>
        <rFont val="Times New Roman"/>
        <family val="1"/>
        <charset val="204"/>
      </rPr>
      <t xml:space="preserve">  </t>
    </r>
  </si>
  <si>
    <r>
      <rPr>
        <b/>
        <sz val="12"/>
        <rFont val="Times New Roman"/>
        <family val="1"/>
        <charset val="204"/>
      </rPr>
      <t xml:space="preserve">Краснокутськ </t>
    </r>
    <r>
      <rPr>
        <sz val="12"/>
        <rFont val="Times New Roman"/>
        <family val="1"/>
        <charset val="204"/>
      </rPr>
      <t xml:space="preserve">: вул. Миру 114, Бориса Зголи 13,Миру 129, Миру 115, Швейпромівська 30, Затишна 30, Маяківська 6, Трудова 8, Основ'нська 57, Берегова 54,78, Лесі українки, провул. Червоний-Заводська 42, вул. Маяківська 16,32, вул. Трудова 128, вул. Героїв Краснокутщини 69, вул. Шевченка 31, Миру 174, вул. садова 3, Миру-Горянська, Червоний 13, Заводська 10. вул. Бориса Зголи 48.:   </t>
    </r>
    <r>
      <rPr>
        <b/>
        <sz val="12"/>
        <rFont val="Times New Roman"/>
        <family val="1"/>
        <charset val="204"/>
      </rPr>
      <t>Краснокутськ-Богодухів;</t>
    </r>
    <r>
      <rPr>
        <sz val="12"/>
        <rFont val="Times New Roman"/>
        <family val="1"/>
        <charset val="204"/>
      </rPr>
      <t xml:space="preserve">  </t>
    </r>
    <r>
      <rPr>
        <b/>
        <sz val="12"/>
        <rFont val="Times New Roman"/>
        <family val="1"/>
        <charset val="204"/>
      </rPr>
      <t>Богодухів-Краснокутськ</t>
    </r>
    <r>
      <rPr>
        <sz val="12"/>
        <rFont val="Times New Roman"/>
        <family val="1"/>
        <charset val="204"/>
      </rPr>
      <t xml:space="preserve">  </t>
    </r>
    <r>
      <rPr>
        <b/>
        <sz val="12"/>
        <rFont val="Times New Roman"/>
        <family val="1"/>
        <charset val="204"/>
      </rPr>
      <t>= 108,40 км</t>
    </r>
    <r>
      <rPr>
        <sz val="12"/>
        <rFont val="Times New Roman"/>
        <family val="1"/>
        <charset val="204"/>
      </rPr>
      <t xml:space="preserve">  </t>
    </r>
  </si>
  <si>
    <t xml:space="preserve">СБМ 304/2       СБМ 601/2 </t>
  </si>
  <si>
    <r>
      <rPr>
        <b/>
        <sz val="12"/>
        <rFont val="Times New Roman"/>
        <family val="1"/>
        <charset val="204"/>
      </rPr>
      <t>Краснокутськ - Оленівське</t>
    </r>
    <r>
      <rPr>
        <sz val="12"/>
        <rFont val="Times New Roman"/>
        <family val="1"/>
        <charset val="204"/>
      </rPr>
      <t xml:space="preserve"> : вул.Конторська 1, вул. Краснокутська 3, вул. Польова 4,: -</t>
    </r>
    <r>
      <rPr>
        <b/>
        <sz val="12"/>
        <rFont val="Times New Roman"/>
        <family val="1"/>
        <charset val="204"/>
      </rPr>
      <t xml:space="preserve"> Мурафа</t>
    </r>
    <r>
      <rPr>
        <sz val="12"/>
        <rFont val="Times New Roman"/>
        <family val="1"/>
        <charset val="204"/>
      </rPr>
      <t xml:space="preserve">: вул. Соснова 5, 6, 7, 8,  вул. Театральна 3, вул. Весняна 3, 40, 60,  вул. Харківська 7, 30, 39,   вул. Центральна 10, 29, 60, 120, 130, 174, 210,  вул. Базарна 5, 21, вул. Ярославська 13,  вул. Лисенка 9,  вул. Заводська 3,  </t>
    </r>
    <r>
      <rPr>
        <sz val="10"/>
        <rFont val="Times New Roman"/>
        <family val="1"/>
        <charset val="204"/>
      </rPr>
      <t xml:space="preserve"> перехр.</t>
    </r>
    <r>
      <rPr>
        <sz val="12"/>
        <rFont val="Times New Roman"/>
        <family val="1"/>
        <charset val="204"/>
      </rPr>
      <t xml:space="preserve"> вул. Заводська 35 - вул.Стадіонна вул. Заводська 37,  вул. Кропивницького 16, вул. Калинова 20, 21, 60, 90, 115,   вул. Ветиринарна 5, вул.Комишанська 2,  вул. Театральна 15, вул.Вуглова 1, 15,  вул. Богодухівська 32;  М</t>
    </r>
    <r>
      <rPr>
        <b/>
        <sz val="12"/>
        <rFont val="Times New Roman"/>
        <family val="1"/>
        <charset val="204"/>
      </rPr>
      <t xml:space="preserve">ирне: </t>
    </r>
    <r>
      <rPr>
        <sz val="12"/>
        <rFont val="Times New Roman"/>
        <family val="1"/>
        <charset val="204"/>
      </rPr>
      <t xml:space="preserve">перехр. пров.Лісовий - вул.Центральна,1.  </t>
    </r>
    <r>
      <rPr>
        <b/>
        <sz val="12"/>
        <rFont val="Times New Roman"/>
        <family val="1"/>
        <charset val="204"/>
      </rPr>
      <t>Мурафа-Богодухів;</t>
    </r>
    <r>
      <rPr>
        <sz val="12"/>
        <rFont val="Times New Roman"/>
        <family val="1"/>
        <charset val="204"/>
      </rPr>
      <t xml:space="preserve">  </t>
    </r>
    <r>
      <rPr>
        <b/>
        <sz val="12"/>
        <rFont val="Times New Roman"/>
        <family val="1"/>
        <charset val="204"/>
      </rPr>
      <t>Богодухів-Краснокутськ</t>
    </r>
    <r>
      <rPr>
        <sz val="12"/>
        <rFont val="Times New Roman"/>
        <family val="1"/>
        <charset val="204"/>
      </rPr>
      <t xml:space="preserve">  </t>
    </r>
    <r>
      <rPr>
        <b/>
        <sz val="12"/>
        <rFont val="Times New Roman"/>
        <family val="1"/>
        <charset val="204"/>
      </rPr>
      <t>=  СБМ 304/2 -132,9 км, СБМ 601/2 - 125,6 км,</t>
    </r>
    <r>
      <rPr>
        <sz val="12"/>
        <rFont val="Times New Roman"/>
        <family val="1"/>
        <charset val="204"/>
      </rPr>
      <t xml:space="preserve">  </t>
    </r>
  </si>
  <si>
    <r>
      <rPr>
        <b/>
        <sz val="12"/>
        <rFont val="Times New Roman"/>
        <family val="1"/>
        <charset val="204"/>
      </rPr>
      <t>Краснокутськ - Основинці</t>
    </r>
    <r>
      <rPr>
        <sz val="12"/>
        <rFont val="Times New Roman"/>
        <family val="1"/>
        <charset val="204"/>
      </rPr>
      <t xml:space="preserve"> :  вул. Каразінська 1,  8 А,  12 А, 22, 33, 51, 53,  перехр. вул. Садова 13 - вул.Грушева:  </t>
    </r>
    <r>
      <rPr>
        <b/>
        <sz val="12"/>
        <rFont val="Times New Roman"/>
        <family val="1"/>
        <charset val="204"/>
      </rPr>
      <t>Основинці-Богодухів;</t>
    </r>
    <r>
      <rPr>
        <sz val="12"/>
        <rFont val="Times New Roman"/>
        <family val="1"/>
        <charset val="204"/>
      </rPr>
      <t xml:space="preserve">  </t>
    </r>
    <r>
      <rPr>
        <b/>
        <sz val="12"/>
        <rFont val="Times New Roman"/>
        <family val="1"/>
        <charset val="204"/>
      </rPr>
      <t>Богодухів-Краснокутськ</t>
    </r>
    <r>
      <rPr>
        <sz val="12"/>
        <rFont val="Times New Roman"/>
        <family val="1"/>
        <charset val="204"/>
      </rPr>
      <t xml:space="preserve">  </t>
    </r>
    <r>
      <rPr>
        <b/>
        <sz val="12"/>
        <rFont val="Times New Roman"/>
        <family val="1"/>
        <charset val="204"/>
      </rPr>
      <t>= 99,3 км</t>
    </r>
    <r>
      <rPr>
        <sz val="12"/>
        <rFont val="Times New Roman"/>
        <family val="1"/>
        <charset val="204"/>
      </rPr>
      <t xml:space="preserve">  </t>
    </r>
  </si>
  <si>
    <t xml:space="preserve">ГАЗ 3309               СКС- 1,02 </t>
  </si>
  <si>
    <r>
      <rPr>
        <b/>
        <sz val="12"/>
        <rFont val="Times New Roman"/>
        <family val="1"/>
        <charset val="204"/>
      </rPr>
      <t>Краснокутськ - Чернещина</t>
    </r>
    <r>
      <rPr>
        <sz val="12"/>
        <rFont val="Times New Roman"/>
        <family val="1"/>
        <charset val="204"/>
      </rPr>
      <t xml:space="preserve"> : вул. Дружби 59Б ,  перех.Вишнево 21А-Кленовий,  перехр. Дружби 34 -Вільшанська,  вул. Дружби 1 -провул. Чернищанський, вул. Вільшанська 50, вул.Дружби -Ярового 11, вул. Вишнева - пров.Лісовий 10, Кленовий9А -28, вул. Дружби 99,  перехр. вул. Дружби -вул. Берегова 78,  вул. Дружби 33, 60, вул. Вільшанська 35 - пров. Кленовий: </t>
    </r>
    <r>
      <rPr>
        <b/>
        <sz val="12"/>
        <rFont val="Times New Roman"/>
        <family val="1"/>
        <charset val="204"/>
      </rPr>
      <t>Чернещина-Богодухів;</t>
    </r>
    <r>
      <rPr>
        <sz val="12"/>
        <rFont val="Times New Roman"/>
        <family val="1"/>
        <charset val="204"/>
      </rPr>
      <t xml:space="preserve">  </t>
    </r>
    <r>
      <rPr>
        <b/>
        <sz val="12"/>
        <rFont val="Times New Roman"/>
        <family val="1"/>
        <charset val="204"/>
      </rPr>
      <t>Богодухів-Краснокутськ</t>
    </r>
    <r>
      <rPr>
        <sz val="12"/>
        <rFont val="Times New Roman"/>
        <family val="1"/>
        <charset val="204"/>
      </rPr>
      <t xml:space="preserve">  </t>
    </r>
    <r>
      <rPr>
        <b/>
        <sz val="12"/>
        <rFont val="Times New Roman"/>
        <family val="1"/>
        <charset val="204"/>
      </rPr>
      <t>=  ГАЗ 3309 - 101,9 км, СКС 1,02 - 103,7 км,</t>
    </r>
    <r>
      <rPr>
        <sz val="12"/>
        <rFont val="Times New Roman"/>
        <family val="1"/>
        <charset val="204"/>
      </rPr>
      <t xml:space="preserve">  </t>
    </r>
  </si>
  <si>
    <r>
      <rPr>
        <b/>
        <sz val="12"/>
        <rFont val="Times New Roman"/>
        <family val="1"/>
        <charset val="204"/>
      </rPr>
      <t xml:space="preserve">Краснокутськ - </t>
    </r>
    <r>
      <rPr>
        <sz val="12"/>
        <rFont val="Times New Roman"/>
        <family val="1"/>
        <charset val="204"/>
      </rPr>
      <t xml:space="preserve">: провул. Каштановий 1, 2, 15,  Героїв Краснокутщини- Охтирська 1, Затишний 30 Горянська 1, Миру 324, Жолобок 3, Оболонська 13, Героїв Краснокутщини 53, Основ'янський 1, перех. вул.Миру і пров. Широкий,  </t>
    </r>
    <r>
      <rPr>
        <b/>
        <sz val="12"/>
        <rFont val="Times New Roman"/>
        <family val="1"/>
        <charset val="204"/>
      </rPr>
      <t>Краснокутськ-Богодухів;</t>
    </r>
    <r>
      <rPr>
        <sz val="12"/>
        <rFont val="Times New Roman"/>
        <family val="1"/>
        <charset val="204"/>
      </rPr>
      <t xml:space="preserve">  </t>
    </r>
    <r>
      <rPr>
        <b/>
        <sz val="12"/>
        <rFont val="Times New Roman"/>
        <family val="1"/>
        <charset val="204"/>
      </rPr>
      <t>Богодухів-Краснокутськ</t>
    </r>
    <r>
      <rPr>
        <sz val="12"/>
        <rFont val="Times New Roman"/>
        <family val="1"/>
        <charset val="204"/>
      </rPr>
      <t xml:space="preserve">  </t>
    </r>
    <r>
      <rPr>
        <b/>
        <sz val="12"/>
        <rFont val="Times New Roman"/>
        <family val="1"/>
        <charset val="204"/>
      </rPr>
      <t>= 94,9 км</t>
    </r>
    <r>
      <rPr>
        <sz val="12"/>
        <rFont val="Times New Roman"/>
        <family val="1"/>
        <charset val="204"/>
      </rPr>
      <t xml:space="preserve">  </t>
    </r>
  </si>
  <si>
    <t>Розрахунок витрат на 01.01.2026 р.</t>
  </si>
  <si>
    <t>МАЗ 4571 робота автомобіля 126,4 км х 20,3/100 х</t>
  </si>
  <si>
    <t>МАЗ 4571 робота автомобіля 135,4км х 20,3/100 х</t>
  </si>
  <si>
    <t>СКС 1,02 робота автомобіля 143,7 км х 19,4/100 х</t>
  </si>
  <si>
    <t>МАЗ 4571  робота автомобіля 132,6км х 20,3/100 х</t>
  </si>
  <si>
    <t>МАЗ 4571 робота автомобіля 118,9км х 20,3/100 х</t>
  </si>
  <si>
    <t>МАЗ 4571 робота автомобіля 103,1 км х 20,3/100 х</t>
  </si>
  <si>
    <t>МАЗ 4571 робота автомобіля 99,3 км х 20,3/100 х</t>
  </si>
  <si>
    <t>ГАЗ 3309 робота автомобіля 142,3 км х 19,4/100 х</t>
  </si>
  <si>
    <t>ГАЗ 3309 робота автомобіля 102,1 км х 19,4/100 х</t>
  </si>
  <si>
    <t>ГАЗ 3309 робота автомобіля 114,3 км х 19,4/100 х</t>
  </si>
  <si>
    <t>ГАЗ 3309 робота автомобіля 140,3 км х 19,4/100 х</t>
  </si>
  <si>
    <t>ГАЗ 3309 робота автомобіля 108,7 км х 19,4/100 х</t>
  </si>
  <si>
    <t>ГАЗ 3309 робота автомобіля 95,2 км х 19,4/100 х</t>
  </si>
  <si>
    <t>ГАЗ 3309 робота автомобіля 101,9 км х 19,4/100 х</t>
  </si>
  <si>
    <t>СКС 1,02 робота автомобіля 119,5 км х 19,4/100 х</t>
  </si>
  <si>
    <t>СКС 1,02 робота автомобіля 101,5 км х 19,4/100 х</t>
  </si>
  <si>
    <t>СКС 1,02 робота автомобіля 103,7 км х 19,4/100 х</t>
  </si>
  <si>
    <t>СБМ 304/2 робота автомобіля 156,9 км х 28,8/100 х</t>
  </si>
  <si>
    <t>СБМ 304/2 робота автомобіля 129,4км х 28,8/100 х</t>
  </si>
  <si>
    <t>СБМ 304/2 робота автомобіля 148,9 км х 28,8/100 х</t>
  </si>
  <si>
    <t>СБМ 304/2 робота автомобіля 106,4 км х 28,8/100 х</t>
  </si>
  <si>
    <t>СБМ 304/2 робота автомобіля 108,4 км х 28,8/100 х</t>
  </si>
  <si>
    <t>СБМ 304/2 робота автомобіля 132,9 км х 28,8/100 х</t>
  </si>
  <si>
    <t>СБМ 601/2 робота автомобіля 113,4 км х 25,9/100 х</t>
  </si>
  <si>
    <t>СБМ 601/2 робота автомобіля 154,7 км х 25,9/100 х</t>
  </si>
  <si>
    <t>СБМ 601/2 робота автомобіля 116,7км х 25,9/100 х</t>
  </si>
  <si>
    <t>СБМ 601/2 робота автомобіля 108,7 км х 25,9/100 х</t>
  </si>
  <si>
    <t>СБМ 601/2 робота автомобіля 94,9 км х 25,9/100 х</t>
  </si>
  <si>
    <t>1796,14х 48рейси</t>
  </si>
  <si>
    <t>1924,03 х 48рейси</t>
  </si>
  <si>
    <t>1465,05 х 48рейси</t>
  </si>
  <si>
    <t>1411,05 х 48рейси</t>
  </si>
  <si>
    <t>1605,16 х 48рейси</t>
  </si>
  <si>
    <t>1951,45 х 48рейси</t>
  </si>
  <si>
    <t>1378,37 х 48рейси</t>
  </si>
  <si>
    <t>1408,25 х 48рейси</t>
  </si>
  <si>
    <t>3163,10 х 48рейси</t>
  </si>
  <si>
    <t>2608,70 х48рейси</t>
  </si>
  <si>
    <t>2145,02 х 48рейси</t>
  </si>
  <si>
    <t>2185,34х 48рейси</t>
  </si>
  <si>
    <t>2679,26х 48рейси</t>
  </si>
  <si>
    <t>2816,35 х 48рейси</t>
  </si>
  <si>
    <t>2055,94 х 48рейси</t>
  </si>
  <si>
    <t>2115,77х 48рейси</t>
  </si>
  <si>
    <t>2804,71 х 48рейси</t>
  </si>
  <si>
    <t>1970,73 х 48рейси</t>
  </si>
  <si>
    <t>2277,13х 48 рейси</t>
  </si>
  <si>
    <t>1720,54 х 48рейси</t>
  </si>
  <si>
    <t>СБМ 601/2 робота автомобіля 139,7 км х 25,9/100 х</t>
  </si>
  <si>
    <t>СБМ 601/2 робота автомобіля125,6км х 25,9/100 х</t>
  </si>
  <si>
    <t>Річний пробіг = 3743,7,5 км/1 рейс* 48 рейсів = 179 697,6 км</t>
  </si>
  <si>
    <t xml:space="preserve">Заробітна плата , відповідно до штатного розпису </t>
  </si>
  <si>
    <t>Населення</t>
  </si>
  <si>
    <r>
      <t>17 460 м</t>
    </r>
    <r>
      <rPr>
        <b/>
        <i/>
        <vertAlign val="superscript"/>
        <sz val="10"/>
        <rFont val="Times New Roman"/>
        <family val="1"/>
        <charset val="204"/>
      </rPr>
      <t>3</t>
    </r>
  </si>
  <si>
    <r>
      <t>771 м</t>
    </r>
    <r>
      <rPr>
        <b/>
        <i/>
        <vertAlign val="superscript"/>
        <sz val="10"/>
        <rFont val="Times New Roman"/>
        <family val="1"/>
        <charset val="204"/>
      </rPr>
      <t>3</t>
    </r>
  </si>
  <si>
    <r>
      <t>1389 м</t>
    </r>
    <r>
      <rPr>
        <b/>
        <i/>
        <vertAlign val="superscript"/>
        <sz val="10"/>
        <rFont val="Times New Roman"/>
        <family val="1"/>
        <charset val="204"/>
      </rPr>
      <t>3</t>
    </r>
  </si>
  <si>
    <t>Начальник ВУЖКГ</t>
  </si>
  <si>
    <t>Павло ГУЦЛЬ</t>
  </si>
  <si>
    <t>1690,00 х 48рейси</t>
  </si>
  <si>
    <t>1884,17х 48 рейси</t>
  </si>
  <si>
    <t>1386,50 х 48рейси</t>
  </si>
  <si>
    <t>1932,40 х 48рейси</t>
  </si>
  <si>
    <t>1552,10 х 48рейси</t>
  </si>
  <si>
    <t>1292,80 х 48рейси</t>
  </si>
  <si>
    <t>1383,75 х 48рейси</t>
  </si>
  <si>
    <t>1622,18 х 48рейси</t>
  </si>
  <si>
    <t>3002,12 х 48рейси</t>
  </si>
  <si>
    <t>1905,30 х 48рейси</t>
  </si>
  <si>
    <t>1475,90 х 48 рейси</t>
  </si>
  <si>
    <t>Вартість на 1м3 = 2 895 620,0/19 620 = 147,59</t>
  </si>
  <si>
    <t>СКС 1,02 робота автомобіля 118,2 км х 19,4/100 х</t>
  </si>
  <si>
    <r>
      <t>Відповідно до Публічного договору про надання послуг з управління побутовими відходами                                                                                                           Середня річна норма на одного споживача 2,09 м</t>
    </r>
    <r>
      <rPr>
        <b/>
        <vertAlign val="superscript"/>
        <sz val="9"/>
        <rFont val="Arial Cyr"/>
        <charset val="204"/>
      </rPr>
      <t>3.  -</t>
    </r>
    <r>
      <rPr>
        <b/>
        <sz val="9"/>
        <rFont val="Arial Cyr"/>
        <charset val="204"/>
      </rPr>
      <t xml:space="preserve"> 19 620 м</t>
    </r>
    <r>
      <rPr>
        <b/>
        <vertAlign val="superscript"/>
        <sz val="9"/>
        <rFont val="Arial Cyr"/>
        <charset val="204"/>
      </rPr>
      <t xml:space="preserve">3 </t>
    </r>
    <r>
      <rPr>
        <b/>
        <sz val="9"/>
        <rFont val="Arial Cyr"/>
        <charset val="204"/>
      </rPr>
      <t>на рік</t>
    </r>
    <r>
      <rPr>
        <b/>
        <vertAlign val="superscript"/>
        <sz val="9"/>
        <rFont val="Arial Cyr"/>
        <charset val="204"/>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</si>
</sst>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fonts count="82" x14ac:knownFonts="1">
    <font>
      <sz val="10"/>
      <name val="Arial Cyr"/>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2"/>
      <name val="Times New Roman"/>
      <family val="1"/>
      <charset val="204"/>
    </font>
    <font>
      <b/>
      <sz val="12"/>
      <name val="Times New Roman"/>
      <family val="1"/>
      <charset val="204"/>
    </font>
    <font>
      <b/>
      <sz val="10"/>
      <name val="Arial Cyr"/>
      <charset val="204"/>
    </font>
    <font>
      <sz val="12"/>
      <color indexed="8"/>
      <name val="Times New Roman"/>
      <family val="1"/>
      <charset val="204"/>
    </font>
    <font>
      <b/>
      <sz val="14"/>
      <name val="Times New Roman"/>
      <family val="1"/>
      <charset val="204"/>
    </font>
    <font>
      <b/>
      <sz val="11"/>
      <name val="Times New Roman"/>
      <family val="1"/>
      <charset val="204"/>
    </font>
    <font>
      <b/>
      <u/>
      <sz val="12"/>
      <name val="Times New Roman"/>
      <family val="1"/>
      <charset val="204"/>
    </font>
    <font>
      <sz val="14"/>
      <name val="Times New Roman"/>
      <family val="1"/>
      <charset val="204"/>
    </font>
    <font>
      <sz val="9"/>
      <color indexed="81"/>
      <name val="Tahoma"/>
      <family val="2"/>
      <charset val="204"/>
    </font>
    <font>
      <b/>
      <sz val="9"/>
      <color indexed="81"/>
      <name val="Tahoma"/>
      <family val="2"/>
      <charset val="204"/>
    </font>
    <font>
      <b/>
      <sz val="16"/>
      <name val="Times New Roman"/>
      <family val="1"/>
      <charset val="204"/>
    </font>
    <font>
      <b/>
      <i/>
      <sz val="10"/>
      <name val="Arial Cyr"/>
      <charset val="204"/>
    </font>
    <font>
      <sz val="12"/>
      <color rgb="FF000000"/>
      <name val="Times New Roman"/>
      <family val="1"/>
      <charset val="204"/>
    </font>
    <font>
      <b/>
      <sz val="12"/>
      <color rgb="FF000000"/>
      <name val="Times New Roman"/>
      <family val="1"/>
      <charset val="204"/>
    </font>
    <font>
      <sz val="10"/>
      <name val="Times New Roman"/>
      <family val="1"/>
      <charset val="204"/>
    </font>
    <font>
      <b/>
      <sz val="10"/>
      <name val="Times New Roman"/>
      <family val="1"/>
      <charset val="204"/>
    </font>
    <font>
      <b/>
      <i/>
      <sz val="12"/>
      <name val="Times New Roman"/>
      <family val="1"/>
      <charset val="204"/>
    </font>
    <font>
      <sz val="11"/>
      <name val="Times New Roman"/>
      <family val="1"/>
      <charset val="204"/>
    </font>
    <font>
      <i/>
      <sz val="11"/>
      <name val="Times New Roman"/>
      <family val="1"/>
      <charset val="204"/>
    </font>
    <font>
      <i/>
      <sz val="10"/>
      <name val="Arial Cyr"/>
      <charset val="204"/>
    </font>
    <font>
      <b/>
      <i/>
      <sz val="11"/>
      <name val="Times New Roman"/>
      <family val="1"/>
      <charset val="204"/>
    </font>
    <font>
      <b/>
      <i/>
      <sz val="10"/>
      <name val="Times New Roman"/>
      <family val="1"/>
      <charset val="204"/>
    </font>
    <font>
      <sz val="9"/>
      <color indexed="8"/>
      <name val="Times New Roman"/>
      <family val="1"/>
      <charset val="204"/>
    </font>
    <font>
      <sz val="11"/>
      <color indexed="8"/>
      <name val="Times New Roman"/>
      <family val="1"/>
      <charset val="204"/>
    </font>
    <font>
      <i/>
      <sz val="9"/>
      <color indexed="8"/>
      <name val="Times New Roman"/>
      <family val="1"/>
      <charset val="204"/>
    </font>
    <font>
      <sz val="10"/>
      <color indexed="8"/>
      <name val="Times New Roman"/>
      <family val="1"/>
      <charset val="204"/>
    </font>
    <font>
      <sz val="11"/>
      <name val="Arial Cyr"/>
      <charset val="204"/>
    </font>
    <font>
      <b/>
      <sz val="11"/>
      <color indexed="8"/>
      <name val="Times New Roman"/>
      <family val="1"/>
      <charset val="204"/>
    </font>
    <font>
      <sz val="14"/>
      <color indexed="8"/>
      <name val="Times New Roman"/>
      <family val="1"/>
      <charset val="204"/>
    </font>
    <font>
      <b/>
      <i/>
      <sz val="12"/>
      <color indexed="8"/>
      <name val="Times New Roman"/>
      <family val="1"/>
      <charset val="204"/>
    </font>
    <font>
      <b/>
      <sz val="12"/>
      <color indexed="8"/>
      <name val="Times New Roman"/>
      <family val="1"/>
      <charset val="204"/>
    </font>
    <font>
      <b/>
      <sz val="10"/>
      <color indexed="8"/>
      <name val="Times New Roman"/>
      <family val="1"/>
      <charset val="204"/>
    </font>
    <font>
      <sz val="8"/>
      <color indexed="8"/>
      <name val="Times New Roman"/>
      <family val="1"/>
      <charset val="204"/>
    </font>
    <font>
      <b/>
      <sz val="12"/>
      <name val="Arial Cyr"/>
      <charset val="204"/>
    </font>
    <font>
      <sz val="11"/>
      <color theme="1"/>
      <name val="Calibri"/>
      <family val="2"/>
      <scheme val="minor"/>
    </font>
    <font>
      <sz val="14"/>
      <name val="Arial Cyr"/>
      <charset val="204"/>
    </font>
    <font>
      <vertAlign val="superscript"/>
      <sz val="12"/>
      <name val="Times New Roman"/>
      <family val="1"/>
      <charset val="204"/>
    </font>
    <font>
      <i/>
      <vertAlign val="superscript"/>
      <sz val="12"/>
      <name val="Times New Roman"/>
      <family val="1"/>
      <charset val="204"/>
    </font>
    <font>
      <sz val="12"/>
      <name val="Cambria"/>
      <family val="1"/>
      <charset val="204"/>
    </font>
    <font>
      <sz val="14"/>
      <name val="Cambria"/>
      <family val="1"/>
      <charset val="204"/>
    </font>
    <font>
      <b/>
      <i/>
      <sz val="11"/>
      <name val="Cambria"/>
      <family val="1"/>
      <charset val="204"/>
    </font>
    <font>
      <i/>
      <sz val="11"/>
      <name val="Cambria"/>
      <family val="1"/>
      <charset val="204"/>
    </font>
    <font>
      <i/>
      <sz val="12"/>
      <name val="Times New Roman"/>
      <family val="1"/>
      <charset val="204"/>
    </font>
    <font>
      <vertAlign val="superscript"/>
      <sz val="11"/>
      <name val="Times New Roman"/>
      <family val="1"/>
      <charset val="204"/>
    </font>
    <font>
      <i/>
      <vertAlign val="superscript"/>
      <sz val="11"/>
      <name val="Times New Roman"/>
      <family val="1"/>
      <charset val="204"/>
    </font>
    <font>
      <i/>
      <vertAlign val="superscript"/>
      <sz val="11"/>
      <name val="Cambria"/>
      <family val="1"/>
      <charset val="204"/>
    </font>
    <font>
      <b/>
      <i/>
      <vertAlign val="superscript"/>
      <sz val="11"/>
      <name val="Cambria"/>
      <family val="1"/>
      <charset val="204"/>
    </font>
    <font>
      <vertAlign val="superscript"/>
      <sz val="12"/>
      <name val="Cambria"/>
      <family val="1"/>
      <charset val="204"/>
    </font>
    <font>
      <b/>
      <i/>
      <vertAlign val="superscript"/>
      <sz val="11"/>
      <name val="Times New Roman"/>
      <family val="1"/>
      <charset val="204"/>
    </font>
    <font>
      <sz val="12"/>
      <color theme="1"/>
      <name val="Times New Roman"/>
      <family val="1"/>
      <charset val="204"/>
    </font>
    <font>
      <b/>
      <sz val="12"/>
      <color theme="1"/>
      <name val="Times New Roman"/>
      <family val="1"/>
      <charset val="204"/>
    </font>
    <font>
      <b/>
      <i/>
      <vertAlign val="superscript"/>
      <sz val="12"/>
      <name val="Times New Roman"/>
      <family val="1"/>
      <charset val="204"/>
    </font>
    <font>
      <b/>
      <sz val="11"/>
      <name val="Arial Cyr"/>
      <charset val="204"/>
    </font>
    <font>
      <sz val="12"/>
      <name val="Arial Cyr"/>
      <charset val="204"/>
    </font>
    <font>
      <b/>
      <vertAlign val="superscript"/>
      <sz val="12"/>
      <name val="Arial Cyr"/>
      <charset val="204"/>
    </font>
    <font>
      <sz val="9"/>
      <name val="Times New Roman"/>
      <family val="1"/>
      <charset val="204"/>
    </font>
    <font>
      <sz val="9"/>
      <name val="Arial Cyr"/>
      <charset val="204"/>
    </font>
    <font>
      <sz val="8"/>
      <name val="Arial Cyr"/>
      <charset val="204"/>
    </font>
    <font>
      <sz val="8"/>
      <name val="Times New Roman"/>
      <family val="1"/>
      <charset val="204"/>
    </font>
    <font>
      <vertAlign val="superscript"/>
      <sz val="12"/>
      <name val="Arial Cyr"/>
      <charset val="204"/>
    </font>
    <font>
      <sz val="14"/>
      <color theme="1"/>
      <name val="Arial Cyr"/>
      <charset val="204"/>
    </font>
    <font>
      <b/>
      <i/>
      <vertAlign val="superscript"/>
      <sz val="10"/>
      <name val="Times New Roman"/>
      <family val="1"/>
      <charset val="204"/>
    </font>
    <font>
      <b/>
      <sz val="9"/>
      <name val="Arial Cyr"/>
      <charset val="204"/>
    </font>
    <font>
      <b/>
      <vertAlign val="superscript"/>
      <sz val="9"/>
      <name val="Arial Cyr"/>
      <charset val="204"/>
    </font>
  </fonts>
  <fills count="20">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s>
  <borders count="31">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thin">
        <color indexed="64"/>
      </top>
      <bottom/>
      <diagonal/>
    </border>
    <border>
      <left style="thin">
        <color indexed="64"/>
      </left>
      <right style="thin">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s>
  <cellStyleXfs count="26">
    <xf numFmtId="0" fontId="0" fillId="0" borderId="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10" borderId="0" applyNumberFormat="0" applyBorder="0" applyAlignment="0" applyProtection="0"/>
    <xf numFmtId="0" fontId="3" fillId="4" borderId="1" applyNumberFormat="0" applyAlignment="0" applyProtection="0"/>
    <xf numFmtId="0" fontId="4" fillId="11" borderId="2" applyNumberFormat="0" applyAlignment="0" applyProtection="0"/>
    <xf numFmtId="0" fontId="5" fillId="11" borderId="1" applyNumberFormat="0" applyAlignment="0" applyProtection="0"/>
    <xf numFmtId="0" fontId="6" fillId="0" borderId="3" applyNumberFormat="0" applyFill="0" applyAlignment="0" applyProtection="0"/>
    <xf numFmtId="0" fontId="7" fillId="0" borderId="4" applyNumberFormat="0" applyFill="0" applyAlignment="0" applyProtection="0"/>
    <xf numFmtId="0" fontId="8" fillId="0" borderId="5" applyNumberFormat="0" applyFill="0" applyAlignment="0" applyProtection="0"/>
    <xf numFmtId="0" fontId="8" fillId="0" borderId="0" applyNumberFormat="0" applyFill="0" applyBorder="0" applyAlignment="0" applyProtection="0"/>
    <xf numFmtId="0" fontId="9" fillId="0" borderId="6" applyNumberFormat="0" applyFill="0" applyAlignment="0" applyProtection="0"/>
    <xf numFmtId="0" fontId="10" fillId="12" borderId="7" applyNumberFormat="0" applyAlignment="0" applyProtection="0"/>
    <xf numFmtId="0" fontId="11" fillId="0" borderId="0" applyNumberFormat="0" applyFill="0" applyBorder="0" applyAlignment="0" applyProtection="0"/>
    <xf numFmtId="0" fontId="12" fillId="13" borderId="0" applyNumberFormat="0" applyBorder="0" applyAlignment="0" applyProtection="0"/>
    <xf numFmtId="0" fontId="13" fillId="2" borderId="0" applyNumberFormat="0" applyBorder="0" applyAlignment="0" applyProtection="0"/>
    <xf numFmtId="0" fontId="14" fillId="0" borderId="0" applyNumberFormat="0" applyFill="0" applyBorder="0" applyAlignment="0" applyProtection="0"/>
    <xf numFmtId="0" fontId="1" fillId="14" borderId="8" applyNumberFormat="0" applyFont="0" applyAlignment="0" applyProtection="0"/>
    <xf numFmtId="0" fontId="15" fillId="0" borderId="9" applyNumberFormat="0" applyFill="0" applyAlignment="0" applyProtection="0"/>
    <xf numFmtId="0" fontId="16" fillId="0" borderId="0" applyNumberFormat="0" applyFill="0" applyBorder="0" applyAlignment="0" applyProtection="0"/>
    <xf numFmtId="0" fontId="17" fillId="3" borderId="0" applyNumberFormat="0" applyBorder="0" applyAlignment="0" applyProtection="0"/>
    <xf numFmtId="0" fontId="1" fillId="0" borderId="0"/>
    <xf numFmtId="0" fontId="52" fillId="0" borderId="0"/>
  </cellStyleXfs>
  <cellXfs count="278">
    <xf numFmtId="0" fontId="0" fillId="0" borderId="0" xfId="0"/>
    <xf numFmtId="0" fontId="18" fillId="0" borderId="10" xfId="0" applyFont="1" applyBorder="1"/>
    <xf numFmtId="2" fontId="18" fillId="0" borderId="10" xfId="0" applyNumberFormat="1" applyFont="1" applyBorder="1" applyAlignment="1">
      <alignment horizontal="center"/>
    </xf>
    <xf numFmtId="0" fontId="19" fillId="0" borderId="10" xfId="0" applyFont="1" applyBorder="1" applyAlignment="1">
      <alignment horizontal="center"/>
    </xf>
    <xf numFmtId="0" fontId="30" fillId="0" borderId="10" xfId="0" applyFont="1" applyBorder="1"/>
    <xf numFmtId="0" fontId="30" fillId="0" borderId="13" xfId="0" applyFont="1" applyBorder="1" applyAlignment="1">
      <alignment vertical="center"/>
    </xf>
    <xf numFmtId="0" fontId="30" fillId="0" borderId="13" xfId="0" applyFont="1" applyBorder="1" applyAlignment="1">
      <alignment vertical="center" wrapText="1"/>
    </xf>
    <xf numFmtId="0" fontId="31" fillId="0" borderId="13" xfId="0" applyFont="1" applyBorder="1" applyAlignment="1">
      <alignment vertical="center" wrapText="1"/>
    </xf>
    <xf numFmtId="0" fontId="30" fillId="0" borderId="10" xfId="0" applyFont="1" applyBorder="1" applyAlignment="1">
      <alignment wrapText="1"/>
    </xf>
    <xf numFmtId="0" fontId="25" fillId="0" borderId="10" xfId="0" applyFont="1" applyBorder="1"/>
    <xf numFmtId="0" fontId="25" fillId="0" borderId="10" xfId="0" applyFont="1" applyBorder="1" applyAlignment="1">
      <alignment wrapText="1"/>
    </xf>
    <xf numFmtId="2" fontId="25" fillId="0" borderId="10" xfId="0" applyNumberFormat="1" applyFont="1" applyBorder="1"/>
    <xf numFmtId="0" fontId="22" fillId="0" borderId="10" xfId="0" applyFont="1" applyBorder="1"/>
    <xf numFmtId="2" fontId="22" fillId="0" borderId="10" xfId="0" applyNumberFormat="1" applyFont="1" applyBorder="1"/>
    <xf numFmtId="0" fontId="22" fillId="15" borderId="10" xfId="0" applyFont="1" applyFill="1" applyBorder="1" applyAlignment="1">
      <alignment horizontal="center"/>
    </xf>
    <xf numFmtId="0" fontId="22" fillId="15" borderId="10" xfId="0" applyFont="1" applyFill="1" applyBorder="1" applyAlignment="1">
      <alignment horizontal="center" wrapText="1"/>
    </xf>
    <xf numFmtId="0" fontId="25" fillId="0" borderId="0" xfId="0" applyFont="1"/>
    <xf numFmtId="0" fontId="28" fillId="0" borderId="0" xfId="0" applyFont="1"/>
    <xf numFmtId="0" fontId="25" fillId="0" borderId="0" xfId="0" applyFont="1" applyAlignment="1">
      <alignment wrapText="1"/>
    </xf>
    <xf numFmtId="2" fontId="25" fillId="0" borderId="0" xfId="0" applyNumberFormat="1" applyFont="1"/>
    <xf numFmtId="0" fontId="22" fillId="0" borderId="0" xfId="0" applyFont="1"/>
    <xf numFmtId="2" fontId="22" fillId="0" borderId="0" xfId="0" applyNumberFormat="1" applyFont="1"/>
    <xf numFmtId="0" fontId="22" fillId="16" borderId="0" xfId="0" applyFont="1" applyFill="1" applyAlignment="1">
      <alignment horizontal="center"/>
    </xf>
    <xf numFmtId="0" fontId="22" fillId="16" borderId="0" xfId="0" applyFont="1" applyFill="1" applyAlignment="1">
      <alignment horizontal="center" wrapText="1"/>
    </xf>
    <xf numFmtId="2" fontId="0" fillId="0" borderId="0" xfId="0" applyNumberFormat="1"/>
    <xf numFmtId="0" fontId="29" fillId="0" borderId="10" xfId="0" applyFont="1" applyBorder="1"/>
    <xf numFmtId="4" fontId="19" fillId="0" borderId="10" xfId="0" applyNumberFormat="1" applyFont="1" applyBorder="1" applyAlignment="1">
      <alignment horizontal="center" wrapText="1"/>
    </xf>
    <xf numFmtId="0" fontId="30" fillId="0" borderId="10" xfId="0" applyFont="1" applyBorder="1" applyAlignment="1">
      <alignment horizontal="center" vertical="top" wrapText="1"/>
    </xf>
    <xf numFmtId="0" fontId="30" fillId="0" borderId="10" xfId="0" applyFont="1" applyBorder="1" applyAlignment="1">
      <alignment horizontal="center" vertical="top"/>
    </xf>
    <xf numFmtId="0" fontId="32" fillId="16" borderId="0" xfId="0" applyFont="1" applyFill="1"/>
    <xf numFmtId="0" fontId="33" fillId="16" borderId="0" xfId="0" applyFont="1" applyFill="1"/>
    <xf numFmtId="0" fontId="32" fillId="0" borderId="0" xfId="0" applyFont="1"/>
    <xf numFmtId="0" fontId="35" fillId="0" borderId="0" xfId="0" applyFont="1" applyAlignment="1">
      <alignment horizontal="center"/>
    </xf>
    <xf numFmtId="0" fontId="35" fillId="0" borderId="10" xfId="0" applyFont="1" applyBorder="1" applyAlignment="1">
      <alignment horizontal="center"/>
    </xf>
    <xf numFmtId="2" fontId="36" fillId="0" borderId="0" xfId="0" applyNumberFormat="1" applyFont="1"/>
    <xf numFmtId="2" fontId="33" fillId="0" borderId="18" xfId="0" applyNumberFormat="1" applyFont="1" applyBorder="1" applyAlignment="1">
      <alignment horizontal="left" wrapText="1"/>
    </xf>
    <xf numFmtId="2" fontId="36" fillId="0" borderId="10" xfId="0" applyNumberFormat="1" applyFont="1" applyBorder="1"/>
    <xf numFmtId="0" fontId="37" fillId="0" borderId="10" xfId="0" applyFont="1" applyBorder="1"/>
    <xf numFmtId="2" fontId="35" fillId="0" borderId="0" xfId="0" applyNumberFormat="1" applyFont="1"/>
    <xf numFmtId="2" fontId="37" fillId="0" borderId="10" xfId="0" applyNumberFormat="1" applyFont="1" applyBorder="1"/>
    <xf numFmtId="2" fontId="38" fillId="0" borderId="10" xfId="0" applyNumberFormat="1" applyFont="1" applyBorder="1"/>
    <xf numFmtId="2" fontId="18" fillId="0" borderId="0" xfId="0" applyNumberFormat="1" applyFont="1"/>
    <xf numFmtId="2" fontId="38" fillId="0" borderId="0" xfId="0" applyNumberFormat="1" applyFont="1"/>
    <xf numFmtId="0" fontId="35" fillId="0" borderId="19" xfId="0" applyFont="1" applyBorder="1" applyAlignment="1">
      <alignment vertical="center" wrapText="1"/>
    </xf>
    <xf numFmtId="0" fontId="35" fillId="0" borderId="20" xfId="0" applyFont="1" applyBorder="1" applyAlignment="1">
      <alignment vertical="center" wrapText="1"/>
    </xf>
    <xf numFmtId="2" fontId="23" fillId="0" borderId="0" xfId="0" applyNumberFormat="1" applyFont="1" applyAlignment="1">
      <alignment horizontal="center"/>
    </xf>
    <xf numFmtId="0" fontId="21" fillId="0" borderId="0" xfId="0" applyFont="1" applyAlignment="1">
      <alignment horizontal="right"/>
    </xf>
    <xf numFmtId="0" fontId="18" fillId="0" borderId="0" xfId="0" applyFont="1"/>
    <xf numFmtId="2" fontId="42" fillId="0" borderId="0" xfId="0" applyNumberFormat="1" applyFont="1" applyAlignment="1">
      <alignment horizontal="right" vertical="center"/>
    </xf>
    <xf numFmtId="2" fontId="42" fillId="0" borderId="0" xfId="0" applyNumberFormat="1" applyFont="1" applyAlignment="1">
      <alignment horizontal="right"/>
    </xf>
    <xf numFmtId="2" fontId="41" fillId="0" borderId="0" xfId="0" applyNumberFormat="1" applyFont="1" applyAlignment="1">
      <alignment horizontal="right"/>
    </xf>
    <xf numFmtId="2" fontId="45" fillId="0" borderId="0" xfId="0" applyNumberFormat="1" applyFont="1" applyAlignment="1">
      <alignment horizontal="right"/>
    </xf>
    <xf numFmtId="2" fontId="33" fillId="0" borderId="0" xfId="0" applyNumberFormat="1" applyFont="1"/>
    <xf numFmtId="2" fontId="19" fillId="0" borderId="0" xfId="0" applyNumberFormat="1" applyFont="1"/>
    <xf numFmtId="0" fontId="19" fillId="0" borderId="0" xfId="0" applyFont="1"/>
    <xf numFmtId="2" fontId="23" fillId="0" borderId="0" xfId="0" applyNumberFormat="1" applyFont="1"/>
    <xf numFmtId="0" fontId="41" fillId="0" borderId="0" xfId="0" applyFont="1"/>
    <xf numFmtId="2" fontId="41" fillId="0" borderId="0" xfId="0" applyNumberFormat="1" applyFont="1"/>
    <xf numFmtId="0" fontId="21" fillId="0" borderId="0" xfId="0" applyFont="1"/>
    <xf numFmtId="2" fontId="43" fillId="0" borderId="0" xfId="0" applyNumberFormat="1" applyFont="1" applyAlignment="1">
      <alignment horizontal="center"/>
    </xf>
    <xf numFmtId="2" fontId="48" fillId="0" borderId="0" xfId="0" applyNumberFormat="1" applyFont="1" applyAlignment="1">
      <alignment horizontal="center" vertical="center"/>
    </xf>
    <xf numFmtId="0" fontId="23" fillId="0" borderId="0" xfId="0" applyFont="1" applyAlignment="1">
      <alignment horizontal="center"/>
    </xf>
    <xf numFmtId="0" fontId="46" fillId="0" borderId="0" xfId="24" applyFont="1"/>
    <xf numFmtId="0" fontId="41" fillId="0" borderId="0" xfId="24" applyFont="1"/>
    <xf numFmtId="0" fontId="43" fillId="0" borderId="0" xfId="24" applyFont="1" applyAlignment="1">
      <alignment horizontal="center" wrapText="1"/>
    </xf>
    <xf numFmtId="0" fontId="21" fillId="0" borderId="0" xfId="24" applyFont="1"/>
    <xf numFmtId="2" fontId="21" fillId="0" borderId="0" xfId="24" applyNumberFormat="1" applyFont="1" applyAlignment="1">
      <alignment wrapText="1"/>
    </xf>
    <xf numFmtId="2" fontId="21" fillId="0" borderId="0" xfId="24" applyNumberFormat="1" applyFont="1"/>
    <xf numFmtId="2" fontId="47" fillId="0" borderId="0" xfId="24" applyNumberFormat="1" applyFont="1"/>
    <xf numFmtId="2" fontId="45" fillId="0" borderId="0" xfId="24" applyNumberFormat="1" applyFont="1"/>
    <xf numFmtId="0" fontId="45" fillId="0" borderId="0" xfId="24" applyFont="1"/>
    <xf numFmtId="0" fontId="18" fillId="0" borderId="0" xfId="0" applyFont="1" applyAlignment="1">
      <alignment horizontal="center" wrapText="1"/>
    </xf>
    <xf numFmtId="2" fontId="18" fillId="0" borderId="10" xfId="0" applyNumberFormat="1" applyFont="1" applyBorder="1"/>
    <xf numFmtId="2" fontId="38" fillId="0" borderId="0" xfId="0" applyNumberFormat="1" applyFont="1" applyBorder="1"/>
    <xf numFmtId="0" fontId="39" fillId="0" borderId="0" xfId="0" applyFont="1" applyBorder="1"/>
    <xf numFmtId="0" fontId="19" fillId="0" borderId="0" xfId="0" applyFont="1" applyAlignment="1">
      <alignment wrapText="1"/>
    </xf>
    <xf numFmtId="0" fontId="20" fillId="0" borderId="24" xfId="0" applyFont="1" applyBorder="1" applyAlignment="1">
      <alignment vertical="center"/>
    </xf>
    <xf numFmtId="0" fontId="20" fillId="0" borderId="0" xfId="0" applyFont="1" applyBorder="1" applyAlignment="1">
      <alignment vertical="center"/>
    </xf>
    <xf numFmtId="0" fontId="19" fillId="17" borderId="24" xfId="0" applyFont="1" applyFill="1" applyBorder="1"/>
    <xf numFmtId="2" fontId="36" fillId="0" borderId="10" xfId="0" applyNumberFormat="1" applyFont="1" applyFill="1" applyBorder="1"/>
    <xf numFmtId="0" fontId="39" fillId="17" borderId="17" xfId="0" applyFont="1" applyFill="1" applyBorder="1"/>
    <xf numFmtId="2" fontId="29" fillId="0" borderId="10" xfId="0" applyNumberFormat="1" applyFont="1" applyBorder="1"/>
    <xf numFmtId="0" fontId="20" fillId="0" borderId="0" xfId="0" applyFont="1"/>
    <xf numFmtId="0" fontId="50" fillId="0" borderId="0" xfId="0" applyFont="1" applyAlignment="1">
      <alignment horizontal="center" vertical="center" wrapText="1"/>
    </xf>
    <xf numFmtId="0" fontId="41" fillId="0" borderId="0" xfId="0" applyFont="1" applyAlignment="1">
      <alignment horizontal="center" vertical="center" wrapText="1"/>
    </xf>
    <xf numFmtId="0" fontId="21" fillId="0" borderId="0" xfId="0" applyFont="1" applyAlignment="1">
      <alignment horizontal="center"/>
    </xf>
    <xf numFmtId="0" fontId="21" fillId="0" borderId="0" xfId="24" applyFont="1" applyAlignment="1">
      <alignment horizontal="right"/>
    </xf>
    <xf numFmtId="0" fontId="46" fillId="0" borderId="0" xfId="24" applyFont="1" applyAlignment="1">
      <alignment horizontal="left"/>
    </xf>
    <xf numFmtId="0" fontId="23" fillId="0" borderId="0" xfId="0" applyFont="1"/>
    <xf numFmtId="0" fontId="33" fillId="0" borderId="0" xfId="0" applyFont="1"/>
    <xf numFmtId="0" fontId="21" fillId="0" borderId="0" xfId="0" applyFont="1" applyAlignment="1">
      <alignment horizontal="center" vertical="center"/>
    </xf>
    <xf numFmtId="0" fontId="21" fillId="0" borderId="0" xfId="24" applyFont="1" applyAlignment="1">
      <alignment horizontal="center" wrapText="1"/>
    </xf>
    <xf numFmtId="2" fontId="48" fillId="0" borderId="0" xfId="24" applyNumberFormat="1" applyFont="1" applyAlignment="1">
      <alignment horizontal="center" vertical="center"/>
    </xf>
    <xf numFmtId="0" fontId="47" fillId="0" borderId="0" xfId="0" applyFont="1" applyAlignment="1">
      <alignment horizontal="center"/>
    </xf>
    <xf numFmtId="0" fontId="34" fillId="0" borderId="0" xfId="0" applyFont="1" applyAlignment="1">
      <alignment horizontal="center"/>
    </xf>
    <xf numFmtId="0" fontId="35" fillId="0" borderId="0" xfId="0" applyFont="1"/>
    <xf numFmtId="0" fontId="40" fillId="0" borderId="0" xfId="0" applyFont="1" applyAlignment="1">
      <alignment horizontal="center" vertical="center" wrapText="1"/>
    </xf>
    <xf numFmtId="0" fontId="25" fillId="16" borderId="0" xfId="0" applyFont="1" applyFill="1" applyAlignment="1">
      <alignment horizontal="center"/>
    </xf>
    <xf numFmtId="0" fontId="33" fillId="0" borderId="0" xfId="0" applyFont="1" applyAlignment="1">
      <alignment vertical="center"/>
    </xf>
    <xf numFmtId="0" fontId="18" fillId="0" borderId="0" xfId="0" applyFont="1" applyAlignment="1">
      <alignment horizontal="center"/>
    </xf>
    <xf numFmtId="0" fontId="18" fillId="0" borderId="0" xfId="0" applyFont="1" applyBorder="1" applyAlignment="1">
      <alignment vertical="center" wrapText="1"/>
    </xf>
    <xf numFmtId="0" fontId="35" fillId="0" borderId="0" xfId="0" applyFont="1"/>
    <xf numFmtId="0" fontId="32" fillId="0" borderId="0" xfId="0" applyFont="1" applyAlignment="1">
      <alignment horizontal="right"/>
    </xf>
    <xf numFmtId="0" fontId="32" fillId="0" borderId="0" xfId="0" applyFont="1" applyAlignment="1">
      <alignment horizontal="left"/>
    </xf>
    <xf numFmtId="2" fontId="41" fillId="0" borderId="0" xfId="0" applyNumberFormat="1" applyFont="1" applyAlignment="1">
      <alignment horizontal="right" vertical="center"/>
    </xf>
    <xf numFmtId="0" fontId="41" fillId="0" borderId="0" xfId="0" applyFont="1" applyAlignment="1">
      <alignment horizontal="left" wrapText="1"/>
    </xf>
    <xf numFmtId="2" fontId="23" fillId="0" borderId="10" xfId="0" applyNumberFormat="1" applyFont="1" applyBorder="1"/>
    <xf numFmtId="0" fontId="35" fillId="0" borderId="10" xfId="0" applyFont="1" applyBorder="1" applyAlignment="1">
      <alignment vertical="center" wrapText="1"/>
    </xf>
    <xf numFmtId="0" fontId="0" fillId="0" borderId="10" xfId="0" applyBorder="1"/>
    <xf numFmtId="0" fontId="35" fillId="0" borderId="10" xfId="0" applyFont="1" applyBorder="1" applyAlignment="1">
      <alignment horizontal="left"/>
    </xf>
    <xf numFmtId="3" fontId="23" fillId="0" borderId="10" xfId="0" applyNumberFormat="1" applyFont="1" applyBorder="1" applyAlignment="1">
      <alignment horizontal="center"/>
    </xf>
    <xf numFmtId="0" fontId="25" fillId="0" borderId="0" xfId="0" applyFont="1" applyBorder="1" applyAlignment="1">
      <alignment horizontal="center"/>
    </xf>
    <xf numFmtId="0" fontId="25" fillId="0" borderId="0" xfId="0" applyFont="1" applyBorder="1"/>
    <xf numFmtId="0" fontId="22" fillId="0" borderId="0" xfId="0" applyFont="1" applyBorder="1"/>
    <xf numFmtId="2" fontId="22" fillId="0" borderId="0" xfId="0" applyNumberFormat="1" applyFont="1" applyBorder="1"/>
    <xf numFmtId="0" fontId="0" fillId="17" borderId="0" xfId="0" applyFill="1"/>
    <xf numFmtId="0" fontId="20" fillId="0" borderId="10" xfId="0" applyFont="1" applyBorder="1"/>
    <xf numFmtId="0" fontId="51" fillId="0" borderId="10" xfId="0" applyFont="1" applyBorder="1"/>
    <xf numFmtId="0" fontId="71" fillId="0" borderId="10" xfId="0" applyFont="1" applyBorder="1"/>
    <xf numFmtId="0" fontId="0" fillId="16" borderId="0" xfId="0" applyFill="1"/>
    <xf numFmtId="0" fontId="18" fillId="16" borderId="0" xfId="0" applyFont="1" applyFill="1" applyAlignment="1">
      <alignment wrapText="1"/>
    </xf>
    <xf numFmtId="2" fontId="18" fillId="16" borderId="0" xfId="0" applyNumberFormat="1" applyFont="1" applyFill="1"/>
    <xf numFmtId="0" fontId="44" fillId="0" borderId="0" xfId="0" applyFont="1" applyAlignment="1">
      <alignment horizontal="left" vertical="center" wrapText="1"/>
    </xf>
    <xf numFmtId="0" fontId="73" fillId="0" borderId="28" xfId="0" applyFont="1" applyBorder="1" applyAlignment="1">
      <alignment vertical="center" wrapText="1"/>
    </xf>
    <xf numFmtId="0" fontId="73" fillId="0" borderId="29" xfId="0" applyFont="1" applyBorder="1" applyAlignment="1">
      <alignment vertical="center" wrapText="1"/>
    </xf>
    <xf numFmtId="0" fontId="32" fillId="0" borderId="29" xfId="0" applyFont="1" applyBorder="1" applyAlignment="1">
      <alignment vertical="center" wrapText="1"/>
    </xf>
    <xf numFmtId="0" fontId="74" fillId="0" borderId="24" xfId="0" applyFont="1" applyBorder="1" applyAlignment="1">
      <alignment vertical="center" wrapText="1"/>
    </xf>
    <xf numFmtId="0" fontId="76" fillId="0" borderId="28" xfId="0" applyFont="1" applyBorder="1" applyAlignment="1">
      <alignment vertical="center" wrapText="1"/>
    </xf>
    <xf numFmtId="0" fontId="0" fillId="0" borderId="0" xfId="0" applyFill="1"/>
    <xf numFmtId="0" fontId="0" fillId="17" borderId="0" xfId="0" applyFill="1" applyAlignment="1">
      <alignment vertical="center"/>
    </xf>
    <xf numFmtId="0" fontId="75" fillId="0" borderId="24" xfId="0" applyFont="1" applyBorder="1" applyAlignment="1">
      <alignment vertical="center" wrapText="1"/>
    </xf>
    <xf numFmtId="0" fontId="60" fillId="16" borderId="0" xfId="0" applyFont="1" applyFill="1"/>
    <xf numFmtId="0" fontId="0" fillId="0" borderId="0" xfId="0" applyAlignment="1">
      <alignment horizontal="center"/>
    </xf>
    <xf numFmtId="0" fontId="18" fillId="0" borderId="0" xfId="0" applyFont="1" applyAlignment="1">
      <alignment wrapText="1"/>
    </xf>
    <xf numFmtId="0" fontId="53" fillId="0" borderId="0" xfId="0" applyFont="1" applyAlignment="1">
      <alignment wrapText="1"/>
    </xf>
    <xf numFmtId="0" fontId="53" fillId="0" borderId="0" xfId="0" applyFont="1" applyAlignment="1">
      <alignment vertical="center" wrapText="1"/>
    </xf>
    <xf numFmtId="0" fontId="0" fillId="0" borderId="0" xfId="0" applyFont="1" applyBorder="1" applyAlignment="1">
      <alignment vertical="center" wrapText="1"/>
    </xf>
    <xf numFmtId="0" fontId="71" fillId="18" borderId="10" xfId="0" applyFont="1" applyFill="1" applyBorder="1"/>
    <xf numFmtId="0" fontId="51" fillId="18" borderId="10" xfId="0" applyFont="1" applyFill="1" applyBorder="1"/>
    <xf numFmtId="3" fontId="51" fillId="0" borderId="10" xfId="0" applyNumberFormat="1" applyFont="1" applyBorder="1"/>
    <xf numFmtId="4" fontId="71" fillId="0" borderId="10" xfId="0" applyNumberFormat="1" applyFont="1" applyBorder="1"/>
    <xf numFmtId="4" fontId="51" fillId="0" borderId="10" xfId="0" applyNumberFormat="1" applyFont="1" applyBorder="1"/>
    <xf numFmtId="0" fontId="71" fillId="0" borderId="0" xfId="0" applyFont="1" applyFill="1" applyBorder="1"/>
    <xf numFmtId="0" fontId="18" fillId="16" borderId="0" xfId="0" applyFont="1" applyFill="1" applyBorder="1" applyAlignment="1">
      <alignment wrapText="1"/>
    </xf>
    <xf numFmtId="0" fontId="33" fillId="0" borderId="0" xfId="0" applyFont="1"/>
    <xf numFmtId="0" fontId="71" fillId="17" borderId="10" xfId="0" applyFont="1" applyFill="1" applyBorder="1"/>
    <xf numFmtId="0" fontId="51" fillId="17" borderId="10" xfId="0" applyFont="1" applyFill="1" applyBorder="1"/>
    <xf numFmtId="0" fontId="73" fillId="0" borderId="29" xfId="0" applyFont="1" applyFill="1" applyBorder="1" applyAlignment="1">
      <alignment vertical="center" wrapText="1"/>
    </xf>
    <xf numFmtId="0" fontId="74" fillId="0" borderId="24" xfId="0" applyFont="1" applyFill="1" applyBorder="1" applyAlignment="1">
      <alignment horizontal="left" vertical="center" wrapText="1"/>
    </xf>
    <xf numFmtId="0" fontId="32" fillId="0" borderId="11" xfId="0" applyFont="1" applyBorder="1" applyAlignment="1">
      <alignment horizontal="right"/>
    </xf>
    <xf numFmtId="2" fontId="32" fillId="0" borderId="11" xfId="0" applyNumberFormat="1" applyFont="1" applyBorder="1" applyAlignment="1">
      <alignment horizontal="right" wrapText="1"/>
    </xf>
    <xf numFmtId="2" fontId="32" fillId="0" borderId="11" xfId="0" applyNumberFormat="1" applyFont="1" applyFill="1" applyBorder="1" applyAlignment="1">
      <alignment horizontal="right" wrapText="1"/>
    </xf>
    <xf numFmtId="0" fontId="34" fillId="16" borderId="23" xfId="0" applyFont="1" applyFill="1" applyBorder="1" applyAlignment="1"/>
    <xf numFmtId="0" fontId="34" fillId="16" borderId="23" xfId="0" applyFont="1" applyFill="1" applyBorder="1" applyAlignment="1">
      <alignment horizontal="center" vertical="center"/>
    </xf>
    <xf numFmtId="0" fontId="34" fillId="16" borderId="23" xfId="0" applyFont="1" applyFill="1" applyBorder="1" applyAlignment="1">
      <alignment horizontal="left"/>
    </xf>
    <xf numFmtId="0" fontId="23" fillId="0" borderId="0" xfId="0" applyFont="1"/>
    <xf numFmtId="2" fontId="34" fillId="0" borderId="10" xfId="0" applyNumberFormat="1" applyFont="1" applyBorder="1"/>
    <xf numFmtId="0" fontId="39" fillId="17" borderId="10" xfId="0" applyFont="1" applyFill="1" applyBorder="1"/>
    <xf numFmtId="2" fontId="23" fillId="0" borderId="10" xfId="0" applyNumberFormat="1" applyFont="1" applyBorder="1" applyAlignment="1">
      <alignment horizontal="center"/>
    </xf>
    <xf numFmtId="3" fontId="18" fillId="0" borderId="10" xfId="0" applyNumberFormat="1" applyFont="1" applyBorder="1" applyAlignment="1">
      <alignment horizontal="center"/>
    </xf>
    <xf numFmtId="3" fontId="29" fillId="0" borderId="10" xfId="0" applyNumberFormat="1" applyFont="1" applyBorder="1"/>
    <xf numFmtId="0" fontId="31" fillId="0" borderId="10" xfId="0" applyFont="1" applyBorder="1" applyAlignment="1">
      <alignment wrapText="1"/>
    </xf>
    <xf numFmtId="3" fontId="29" fillId="19" borderId="10" xfId="0" applyNumberFormat="1" applyFont="1" applyFill="1" applyBorder="1"/>
    <xf numFmtId="0" fontId="29" fillId="19" borderId="10" xfId="0" applyFont="1" applyFill="1" applyBorder="1"/>
    <xf numFmtId="0" fontId="0" fillId="0" borderId="0" xfId="0" applyAlignment="1">
      <alignment horizontal="center"/>
    </xf>
    <xf numFmtId="2" fontId="32" fillId="0" borderId="11" xfId="0" applyNumberFormat="1" applyFont="1" applyBorder="1" applyAlignment="1">
      <alignment horizontal="right"/>
    </xf>
    <xf numFmtId="2" fontId="37" fillId="16" borderId="10" xfId="0" applyNumberFormat="1" applyFont="1" applyFill="1" applyBorder="1"/>
    <xf numFmtId="2" fontId="37" fillId="0" borderId="10" xfId="0" applyNumberFormat="1" applyFont="1" applyFill="1" applyBorder="1"/>
    <xf numFmtId="0" fontId="80" fillId="0" borderId="0" xfId="0" applyFont="1" applyAlignment="1">
      <alignment horizontal="left" vertical="center" wrapText="1"/>
    </xf>
    <xf numFmtId="0" fontId="25" fillId="16" borderId="0" xfId="0" applyFont="1" applyFill="1" applyAlignment="1">
      <alignment horizontal="center" vertical="center"/>
    </xf>
    <xf numFmtId="0" fontId="35" fillId="0" borderId="17" xfId="0" applyFont="1" applyBorder="1" applyAlignment="1">
      <alignment horizontal="center"/>
    </xf>
    <xf numFmtId="0" fontId="35" fillId="0" borderId="11" xfId="0" applyFont="1" applyBorder="1" applyAlignment="1">
      <alignment horizontal="center"/>
    </xf>
    <xf numFmtId="0" fontId="35" fillId="0" borderId="18" xfId="0" applyFont="1" applyBorder="1" applyAlignment="1">
      <alignment horizontal="center"/>
    </xf>
    <xf numFmtId="0" fontId="32" fillId="0" borderId="15" xfId="0" applyFont="1" applyBorder="1" applyAlignment="1">
      <alignment horizontal="center" vertical="center" wrapText="1"/>
    </xf>
    <xf numFmtId="0" fontId="32" fillId="0" borderId="16" xfId="0" applyFont="1" applyBorder="1" applyAlignment="1">
      <alignment horizontal="center" vertical="center" wrapText="1"/>
    </xf>
    <xf numFmtId="0" fontId="32" fillId="0" borderId="21" xfId="0" applyFont="1" applyBorder="1" applyAlignment="1">
      <alignment horizontal="center" vertical="center" wrapText="1"/>
    </xf>
    <xf numFmtId="0" fontId="32" fillId="0" borderId="22" xfId="0" applyFont="1" applyBorder="1" applyAlignment="1">
      <alignment horizontal="center" vertical="center" wrapText="1"/>
    </xf>
    <xf numFmtId="0" fontId="32" fillId="0" borderId="19" xfId="0" applyFont="1" applyBorder="1" applyAlignment="1">
      <alignment horizontal="center" vertical="center" wrapText="1"/>
    </xf>
    <xf numFmtId="0" fontId="32" fillId="0" borderId="20" xfId="0" applyFont="1" applyBorder="1" applyAlignment="1">
      <alignment horizontal="center" vertical="center" wrapText="1"/>
    </xf>
    <xf numFmtId="0" fontId="32" fillId="0" borderId="17" xfId="0" applyFont="1" applyBorder="1" applyAlignment="1">
      <alignment horizontal="left" wrapText="1"/>
    </xf>
    <xf numFmtId="0" fontId="32" fillId="0" borderId="18" xfId="0" applyFont="1" applyBorder="1" applyAlignment="1">
      <alignment horizontal="left" wrapText="1"/>
    </xf>
    <xf numFmtId="0" fontId="32" fillId="0" borderId="17" xfId="0" applyFont="1" applyBorder="1" applyAlignment="1">
      <alignment horizontal="left"/>
    </xf>
    <xf numFmtId="0" fontId="32" fillId="0" borderId="18" xfId="0" applyFont="1" applyBorder="1" applyAlignment="1">
      <alignment horizontal="left"/>
    </xf>
    <xf numFmtId="0" fontId="32" fillId="0" borderId="17" xfId="0" applyFont="1" applyFill="1" applyBorder="1" applyAlignment="1">
      <alignment horizontal="left" wrapText="1"/>
    </xf>
    <xf numFmtId="0" fontId="32" fillId="0" borderId="18" xfId="0" applyFont="1" applyFill="1" applyBorder="1" applyAlignment="1">
      <alignment horizontal="left" wrapText="1"/>
    </xf>
    <xf numFmtId="0" fontId="32" fillId="0" borderId="17" xfId="0" applyFont="1" applyBorder="1" applyAlignment="1">
      <alignment horizontal="center"/>
    </xf>
    <xf numFmtId="0" fontId="32" fillId="0" borderId="18" xfId="0" applyFont="1" applyBorder="1" applyAlignment="1">
      <alignment horizontal="center"/>
    </xf>
    <xf numFmtId="0" fontId="32" fillId="0" borderId="11" xfId="0" applyFont="1" applyBorder="1" applyAlignment="1">
      <alignment horizontal="center"/>
    </xf>
    <xf numFmtId="0" fontId="32" fillId="0" borderId="11" xfId="0" applyFont="1" applyBorder="1" applyAlignment="1">
      <alignment horizontal="left" wrapText="1"/>
    </xf>
    <xf numFmtId="0" fontId="33" fillId="0" borderId="0" xfId="0" applyFont="1" applyAlignment="1">
      <alignment horizontal="center"/>
    </xf>
    <xf numFmtId="0" fontId="32" fillId="0" borderId="26" xfId="0" applyFont="1" applyBorder="1" applyAlignment="1">
      <alignment horizontal="left"/>
    </xf>
    <xf numFmtId="0" fontId="41" fillId="0" borderId="0" xfId="0" applyFont="1" applyAlignment="1">
      <alignment horizontal="left" wrapText="1"/>
    </xf>
    <xf numFmtId="2" fontId="41" fillId="0" borderId="0" xfId="0" applyNumberFormat="1" applyFont="1" applyAlignment="1">
      <alignment horizontal="left" vertical="center"/>
    </xf>
    <xf numFmtId="0" fontId="33" fillId="0" borderId="26" xfId="0" applyFont="1" applyBorder="1" applyAlignment="1">
      <alignment horizontal="left"/>
    </xf>
    <xf numFmtId="0" fontId="41" fillId="0" borderId="0" xfId="0" applyFont="1" applyAlignment="1">
      <alignment horizontal="center"/>
    </xf>
    <xf numFmtId="0" fontId="45" fillId="0" borderId="0" xfId="0" applyFont="1" applyAlignment="1">
      <alignment horizontal="left" wrapText="1"/>
    </xf>
    <xf numFmtId="0" fontId="33" fillId="0" borderId="17" xfId="0" applyFont="1" applyBorder="1" applyAlignment="1">
      <alignment horizontal="center"/>
    </xf>
    <xf numFmtId="0" fontId="33" fillId="0" borderId="18" xfId="0" applyFont="1" applyBorder="1" applyAlignment="1">
      <alignment horizontal="center"/>
    </xf>
    <xf numFmtId="0" fontId="33" fillId="0" borderId="11" xfId="0" applyFont="1" applyBorder="1" applyAlignment="1">
      <alignment horizontal="center"/>
    </xf>
    <xf numFmtId="0" fontId="35" fillId="0" borderId="17" xfId="0" applyFont="1" applyBorder="1" applyAlignment="1">
      <alignment horizontal="left"/>
    </xf>
    <xf numFmtId="0" fontId="35" fillId="0" borderId="18" xfId="0" applyFont="1" applyBorder="1" applyAlignment="1">
      <alignment horizontal="left"/>
    </xf>
    <xf numFmtId="0" fontId="32" fillId="0" borderId="11" xfId="0" applyFont="1" applyBorder="1"/>
    <xf numFmtId="0" fontId="34" fillId="0" borderId="0" xfId="0" applyFont="1" applyAlignment="1">
      <alignment horizontal="center"/>
    </xf>
    <xf numFmtId="0" fontId="40" fillId="0" borderId="0" xfId="0" applyFont="1" applyAlignment="1">
      <alignment horizontal="center" vertical="center" wrapText="1"/>
    </xf>
    <xf numFmtId="0" fontId="41" fillId="0" borderId="0" xfId="0" applyFont="1" applyAlignment="1">
      <alignment horizontal="center" wrapText="1"/>
    </xf>
    <xf numFmtId="0" fontId="44" fillId="0" borderId="0" xfId="0" applyFont="1" applyAlignment="1">
      <alignment horizontal="center" wrapText="1"/>
    </xf>
    <xf numFmtId="0" fontId="33" fillId="0" borderId="0" xfId="0" applyFont="1" applyBorder="1" applyAlignment="1">
      <alignment horizontal="left"/>
    </xf>
    <xf numFmtId="0" fontId="23" fillId="0" borderId="0" xfId="0" applyFont="1"/>
    <xf numFmtId="0" fontId="47" fillId="0" borderId="0" xfId="0" applyFont="1" applyAlignment="1">
      <alignment horizontal="center"/>
    </xf>
    <xf numFmtId="0" fontId="0" fillId="0" borderId="0" xfId="0" applyAlignment="1">
      <alignment horizontal="center" wrapText="1"/>
    </xf>
    <xf numFmtId="0" fontId="45" fillId="0" borderId="0" xfId="0" applyFont="1" applyAlignment="1">
      <alignment horizontal="center" wrapText="1"/>
    </xf>
    <xf numFmtId="0" fontId="32" fillId="0" borderId="0" xfId="0" applyFont="1" applyAlignment="1">
      <alignment horizontal="center" wrapText="1"/>
    </xf>
    <xf numFmtId="0" fontId="21" fillId="0" borderId="0" xfId="0" applyFont="1" applyAlignment="1">
      <alignment horizontal="center"/>
    </xf>
    <xf numFmtId="0" fontId="43" fillId="0" borderId="0" xfId="0" applyFont="1" applyAlignment="1">
      <alignment horizontal="center"/>
    </xf>
    <xf numFmtId="0" fontId="41" fillId="0" borderId="0" xfId="0" applyFont="1" applyAlignment="1">
      <alignment horizontal="left"/>
    </xf>
    <xf numFmtId="0" fontId="35" fillId="0" borderId="0" xfId="0" applyFont="1"/>
    <xf numFmtId="2" fontId="49" fillId="0" borderId="0" xfId="0" applyNumberFormat="1" applyFont="1" applyAlignment="1">
      <alignment horizontal="center"/>
    </xf>
    <xf numFmtId="0" fontId="33" fillId="0" borderId="0" xfId="0" applyFont="1"/>
    <xf numFmtId="0" fontId="32" fillId="0" borderId="0" xfId="0" applyFont="1" applyAlignment="1">
      <alignment horizontal="left" wrapText="1"/>
    </xf>
    <xf numFmtId="0" fontId="32" fillId="0" borderId="0" xfId="0" applyFont="1" applyAlignment="1">
      <alignment horizontal="center"/>
    </xf>
    <xf numFmtId="0" fontId="41" fillId="0" borderId="0" xfId="0" applyFont="1" applyAlignment="1">
      <alignment horizontal="center" vertical="center" wrapText="1"/>
    </xf>
    <xf numFmtId="2" fontId="41" fillId="0" borderId="0" xfId="0" applyNumberFormat="1" applyFont="1" applyAlignment="1">
      <alignment horizontal="center" vertical="center"/>
    </xf>
    <xf numFmtId="0" fontId="46" fillId="0" borderId="0" xfId="24" applyFont="1" applyAlignment="1">
      <alignment horizontal="center" wrapText="1"/>
    </xf>
    <xf numFmtId="0" fontId="46" fillId="0" borderId="0" xfId="24" applyFont="1" applyAlignment="1">
      <alignment horizontal="center"/>
    </xf>
    <xf numFmtId="0" fontId="50" fillId="0" borderId="0" xfId="0" applyFont="1" applyAlignment="1">
      <alignment horizontal="center" vertical="center" wrapText="1"/>
    </xf>
    <xf numFmtId="0" fontId="0" fillId="0" borderId="0" xfId="0" applyAlignment="1">
      <alignment horizontal="center"/>
    </xf>
    <xf numFmtId="0" fontId="21" fillId="0" borderId="0" xfId="24" applyFont="1" applyAlignment="1">
      <alignment horizontal="right"/>
    </xf>
    <xf numFmtId="0" fontId="46" fillId="0" borderId="0" xfId="24" applyFont="1" applyAlignment="1">
      <alignment horizontal="left"/>
    </xf>
    <xf numFmtId="0" fontId="21" fillId="0" borderId="0" xfId="0" applyFont="1" applyAlignment="1">
      <alignment horizontal="center" vertical="center"/>
    </xf>
    <xf numFmtId="0" fontId="21" fillId="0" borderId="0" xfId="24" applyFont="1" applyAlignment="1">
      <alignment horizontal="center" wrapText="1"/>
    </xf>
    <xf numFmtId="2" fontId="48" fillId="0" borderId="0" xfId="24" applyNumberFormat="1" applyFont="1" applyAlignment="1">
      <alignment horizontal="center" vertical="center"/>
    </xf>
    <xf numFmtId="0" fontId="28" fillId="0" borderId="0" xfId="0" applyFont="1" applyAlignment="1">
      <alignment horizontal="center"/>
    </xf>
    <xf numFmtId="0" fontId="28" fillId="0" borderId="0" xfId="0" applyFont="1"/>
    <xf numFmtId="0" fontId="19" fillId="0" borderId="0" xfId="0" applyFont="1" applyAlignment="1">
      <alignment horizontal="right"/>
    </xf>
    <xf numFmtId="0" fontId="19" fillId="0" borderId="0" xfId="0" applyFont="1" applyBorder="1" applyAlignment="1">
      <alignment horizontal="center"/>
    </xf>
    <xf numFmtId="0" fontId="19" fillId="0" borderId="0" xfId="0" applyFont="1" applyAlignment="1">
      <alignment horizontal="center"/>
    </xf>
    <xf numFmtId="0" fontId="25" fillId="0" borderId="0" xfId="0" applyFont="1" applyBorder="1" applyAlignment="1">
      <alignment horizontal="center"/>
    </xf>
    <xf numFmtId="0" fontId="71" fillId="0" borderId="14" xfId="0" applyFont="1" applyBorder="1" applyAlignment="1">
      <alignment horizontal="center" textRotation="45"/>
    </xf>
    <xf numFmtId="0" fontId="71" fillId="0" borderId="27" xfId="0" applyFont="1" applyBorder="1" applyAlignment="1">
      <alignment horizontal="center" textRotation="45"/>
    </xf>
    <xf numFmtId="0" fontId="71" fillId="0" borderId="12" xfId="0" applyFont="1" applyBorder="1" applyAlignment="1">
      <alignment horizontal="center" textRotation="45"/>
    </xf>
    <xf numFmtId="0" fontId="71" fillId="0" borderId="14" xfId="0" applyFont="1" applyBorder="1" applyAlignment="1">
      <alignment horizontal="center" vertical="center" textRotation="45"/>
    </xf>
    <xf numFmtId="0" fontId="71" fillId="0" borderId="27" xfId="0" applyFont="1" applyBorder="1" applyAlignment="1">
      <alignment horizontal="center" vertical="center" textRotation="45"/>
    </xf>
    <xf numFmtId="0" fontId="71" fillId="0" borderId="12" xfId="0" applyFont="1" applyBorder="1" applyAlignment="1">
      <alignment horizontal="center" vertical="center" textRotation="45"/>
    </xf>
    <xf numFmtId="0" fontId="19" fillId="0" borderId="0" xfId="0" applyFont="1" applyAlignment="1">
      <alignment horizontal="left"/>
    </xf>
    <xf numFmtId="0" fontId="18" fillId="0" borderId="0" xfId="0" applyFont="1" applyAlignment="1">
      <alignment wrapText="1"/>
    </xf>
    <xf numFmtId="0" fontId="53" fillId="0" borderId="0" xfId="0" applyFont="1" applyAlignment="1">
      <alignment wrapText="1"/>
    </xf>
    <xf numFmtId="0" fontId="18" fillId="16" borderId="0" xfId="0" applyFont="1" applyFill="1" applyAlignment="1">
      <alignment horizontal="left" vertical="center"/>
    </xf>
    <xf numFmtId="0" fontId="18" fillId="16" borderId="0" xfId="0" applyFont="1" applyFill="1" applyAlignment="1">
      <alignment horizontal="left"/>
    </xf>
    <xf numFmtId="0" fontId="18" fillId="0" borderId="0" xfId="0" applyFont="1" applyBorder="1" applyAlignment="1">
      <alignment horizontal="left" vertical="center" wrapText="1"/>
    </xf>
    <xf numFmtId="0" fontId="18" fillId="0" borderId="25" xfId="0" applyFont="1" applyBorder="1" applyAlignment="1">
      <alignment vertical="center" wrapText="1"/>
    </xf>
    <xf numFmtId="0" fontId="53" fillId="0" borderId="0" xfId="0" applyFont="1" applyAlignment="1">
      <alignment vertical="center" wrapText="1"/>
    </xf>
    <xf numFmtId="0" fontId="18" fillId="16" borderId="25" xfId="0" applyFont="1" applyFill="1" applyBorder="1" applyAlignment="1">
      <alignment horizontal="left" wrapText="1"/>
    </xf>
    <xf numFmtId="0" fontId="53" fillId="16" borderId="0" xfId="0" applyFont="1" applyFill="1" applyAlignment="1">
      <alignment horizontal="left" wrapText="1"/>
    </xf>
    <xf numFmtId="0" fontId="0" fillId="0" borderId="30" xfId="0" applyFont="1" applyBorder="1" applyAlignment="1">
      <alignment horizontal="center" vertical="center" wrapText="1"/>
    </xf>
    <xf numFmtId="0" fontId="0" fillId="0" borderId="12" xfId="0" applyFont="1" applyBorder="1" applyAlignment="1">
      <alignment horizontal="center" vertical="center" wrapText="1"/>
    </xf>
    <xf numFmtId="0" fontId="19" fillId="0" borderId="21" xfId="0" applyFont="1" applyBorder="1" applyAlignment="1">
      <alignment horizontal="left" wrapText="1"/>
    </xf>
    <xf numFmtId="0" fontId="19" fillId="0" borderId="0" xfId="0" applyFont="1" applyBorder="1" applyAlignment="1">
      <alignment horizontal="left" wrapText="1"/>
    </xf>
    <xf numFmtId="0" fontId="18" fillId="0" borderId="0" xfId="0" applyFont="1" applyAlignment="1">
      <alignment vertical="center" wrapText="1"/>
    </xf>
    <xf numFmtId="0" fontId="67" fillId="0" borderId="0" xfId="0" applyFont="1" applyFill="1" applyAlignment="1">
      <alignment vertical="center" wrapText="1"/>
    </xf>
    <xf numFmtId="0" fontId="78" fillId="0" borderId="0" xfId="0" applyFont="1" applyFill="1" applyAlignment="1">
      <alignment vertical="center" wrapText="1"/>
    </xf>
    <xf numFmtId="0" fontId="18" fillId="0" borderId="0" xfId="0" applyFont="1" applyFill="1" applyAlignment="1">
      <alignment wrapText="1"/>
    </xf>
    <xf numFmtId="0" fontId="53" fillId="0" borderId="0" xfId="0" applyFont="1" applyFill="1" applyAlignment="1">
      <alignment wrapText="1"/>
    </xf>
    <xf numFmtId="0" fontId="18" fillId="18" borderId="25" xfId="0" applyFont="1" applyFill="1" applyBorder="1" applyAlignment="1">
      <alignment horizontal="left" wrapText="1"/>
    </xf>
    <xf numFmtId="0" fontId="18" fillId="18" borderId="0" xfId="0" applyFont="1" applyFill="1" applyBorder="1" applyAlignment="1">
      <alignment horizontal="left" wrapText="1"/>
    </xf>
    <xf numFmtId="0" fontId="67" fillId="16" borderId="0" xfId="0" applyFont="1" applyFill="1" applyAlignment="1">
      <alignment horizontal="left" vertical="center" wrapText="1"/>
    </xf>
    <xf numFmtId="0" fontId="51" fillId="0" borderId="0" xfId="0" applyFont="1" applyAlignment="1">
      <alignment horizontal="center"/>
    </xf>
    <xf numFmtId="0" fontId="70" fillId="0" borderId="0" xfId="0" applyFont="1" applyAlignment="1">
      <alignment horizontal="center" vertical="center" wrapText="1"/>
    </xf>
    <xf numFmtId="0" fontId="56" fillId="16" borderId="25" xfId="0" applyFont="1" applyFill="1" applyBorder="1" applyAlignment="1">
      <alignment horizontal="left" wrapText="1"/>
    </xf>
    <xf numFmtId="0" fontId="57" fillId="16" borderId="0" xfId="0" applyFont="1" applyFill="1" applyAlignment="1">
      <alignment horizontal="left" wrapText="1"/>
    </xf>
    <xf numFmtId="0" fontId="80" fillId="0" borderId="0" xfId="0" applyFont="1" applyAlignment="1">
      <alignment horizontal="left" vertical="center" wrapText="1"/>
    </xf>
    <xf numFmtId="0" fontId="44" fillId="0" borderId="0" xfId="0" applyFont="1" applyAlignment="1">
      <alignment horizontal="left" vertical="center" wrapText="1"/>
    </xf>
    <xf numFmtId="0" fontId="23" fillId="0" borderId="0" xfId="0" applyFont="1" applyAlignment="1">
      <alignment horizontal="left"/>
    </xf>
    <xf numFmtId="0" fontId="19" fillId="0" borderId="17" xfId="0" applyFont="1" applyBorder="1" applyAlignment="1">
      <alignment horizontal="center" wrapText="1"/>
    </xf>
    <xf numFmtId="0" fontId="19" fillId="0" borderId="18" xfId="0" applyFont="1" applyBorder="1" applyAlignment="1">
      <alignment horizontal="center" wrapText="1"/>
    </xf>
    <xf numFmtId="0" fontId="0" fillId="0" borderId="18" xfId="0" applyBorder="1" applyAlignment="1">
      <alignment horizontal="center" wrapText="1"/>
    </xf>
    <xf numFmtId="0" fontId="0" fillId="0" borderId="11" xfId="0" applyBorder="1" applyAlignment="1">
      <alignment horizontal="center" wrapText="1"/>
    </xf>
    <xf numFmtId="0" fontId="19" fillId="0" borderId="14" xfId="0" applyFont="1" applyBorder="1" applyAlignment="1">
      <alignment vertical="top"/>
    </xf>
    <xf numFmtId="0" fontId="20" fillId="0" borderId="12" xfId="0" applyFont="1" applyBorder="1" applyAlignment="1">
      <alignment vertical="top"/>
    </xf>
  </cellXfs>
  <cellStyles count="26">
    <cellStyle name="Акцент1" xfId="1" builtinId="29" customBuiltin="1"/>
    <cellStyle name="Акцент2" xfId="2" builtinId="33" customBuiltin="1"/>
    <cellStyle name="Акцент3" xfId="3" builtinId="37" customBuiltin="1"/>
    <cellStyle name="Акцент4" xfId="4" builtinId="41" customBuiltin="1"/>
    <cellStyle name="Акцент5" xfId="5" builtinId="45" customBuiltin="1"/>
    <cellStyle name="Акцент6" xfId="6" builtinId="49" customBuiltin="1"/>
    <cellStyle name="Ввод " xfId="7" builtinId="20" customBuiltin="1"/>
    <cellStyle name="Вывод" xfId="8" builtinId="21" customBuiltin="1"/>
    <cellStyle name="Вычисление" xfId="9" builtinId="22" customBuiltin="1"/>
    <cellStyle name="Заголовок 1" xfId="10" builtinId="16" customBuiltin="1"/>
    <cellStyle name="Заголовок 2" xfId="11" builtinId="17" customBuiltin="1"/>
    <cellStyle name="Заголовок 3" xfId="12" builtinId="18" customBuiltin="1"/>
    <cellStyle name="Заголовок 4" xfId="13" builtinId="19" customBuiltin="1"/>
    <cellStyle name="Итог" xfId="14" builtinId="25" customBuiltin="1"/>
    <cellStyle name="Контрольная ячейка" xfId="15" builtinId="23" customBuiltin="1"/>
    <cellStyle name="Название" xfId="16" builtinId="15" customBuiltin="1"/>
    <cellStyle name="Нейтральный" xfId="17" builtinId="28" customBuiltin="1"/>
    <cellStyle name="Обычный" xfId="0" builtinId="0"/>
    <cellStyle name="Обычный 2" xfId="25"/>
    <cellStyle name="Обычный_Лист2" xfId="24"/>
    <cellStyle name="Плохой" xfId="18" builtinId="27" customBuiltin="1"/>
    <cellStyle name="Пояснение" xfId="19" builtinId="53" customBuiltin="1"/>
    <cellStyle name="Примечание" xfId="20" builtinId="10" customBuiltin="1"/>
    <cellStyle name="Связанная ячейка" xfId="21" builtinId="24" customBuiltin="1"/>
    <cellStyle name="Текст предупреждения" xfId="22" builtinId="11" customBuiltin="1"/>
    <cellStyle name="Хороший" xfId="23"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N132"/>
  <sheetViews>
    <sheetView tabSelected="1" topLeftCell="A25" zoomScale="90" workbookViewId="0">
      <selection activeCell="M26" sqref="M26"/>
    </sheetView>
  </sheetViews>
  <sheetFormatPr defaultRowHeight="12.75" x14ac:dyDescent="0.2"/>
  <cols>
    <col min="1" max="1" width="1.7109375" customWidth="1"/>
    <col min="3" max="3" width="13" customWidth="1"/>
    <col min="5" max="5" width="13.5703125" customWidth="1"/>
    <col min="6" max="6" width="19.42578125" customWidth="1"/>
    <col min="7" max="7" width="6.5703125" customWidth="1"/>
    <col min="8" max="8" width="16.28515625" customWidth="1"/>
    <col min="9" max="9" width="12.140625" customWidth="1"/>
    <col min="10" max="10" width="8.7109375" customWidth="1"/>
    <col min="11" max="11" width="12.140625" customWidth="1"/>
    <col min="13" max="13" width="10.42578125" customWidth="1"/>
    <col min="14" max="14" width="13.5703125" customWidth="1"/>
    <col min="26" max="26" width="6.5703125" customWidth="1"/>
    <col min="27" max="27" width="11.140625" customWidth="1"/>
    <col min="28" max="28" width="12.7109375" customWidth="1"/>
    <col min="29" max="29" width="10.7109375" customWidth="1"/>
    <col min="34" max="34" width="6.5703125" customWidth="1"/>
    <col min="38" max="38" width="0.5703125" customWidth="1"/>
    <col min="39" max="39" width="15.28515625" customWidth="1"/>
    <col min="40" max="40" width="12.7109375" customWidth="1"/>
    <col min="41" max="41" width="12.85546875" customWidth="1"/>
    <col min="42" max="42" width="12.28515625" customWidth="1"/>
    <col min="43" max="43" width="11.7109375" customWidth="1"/>
    <col min="44" max="44" width="11.85546875" customWidth="1"/>
    <col min="51" max="51" width="5.42578125" customWidth="1"/>
    <col min="53" max="53" width="12.85546875" customWidth="1"/>
    <col min="54" max="54" width="12.7109375" customWidth="1"/>
    <col min="55" max="55" width="10.7109375" bestFit="1" customWidth="1"/>
    <col min="248" max="248" width="8.42578125" customWidth="1"/>
    <col min="249" max="249" width="15.42578125" customWidth="1"/>
    <col min="250" max="250" width="11.5703125" customWidth="1"/>
    <col min="252" max="252" width="25.7109375" customWidth="1"/>
    <col min="253" max="253" width="11.28515625" customWidth="1"/>
    <col min="254" max="254" width="12" customWidth="1"/>
    <col min="255" max="255" width="14.140625" customWidth="1"/>
    <col min="257" max="257" width="13" customWidth="1"/>
    <col min="259" max="259" width="13.5703125" customWidth="1"/>
    <col min="260" max="260" width="19.42578125" customWidth="1"/>
    <col min="261" max="261" width="6.5703125" customWidth="1"/>
    <col min="262" max="262" width="16.28515625" customWidth="1"/>
    <col min="263" max="263" width="12.140625" customWidth="1"/>
    <col min="264" max="264" width="8.7109375" customWidth="1"/>
    <col min="265" max="267" width="12.140625" customWidth="1"/>
    <col min="269" max="269" width="10.42578125" customWidth="1"/>
    <col min="270" max="270" width="13.5703125" customWidth="1"/>
    <col min="282" max="282" width="6.5703125" customWidth="1"/>
    <col min="283" max="283" width="11.140625" customWidth="1"/>
    <col min="284" max="284" width="12.7109375" customWidth="1"/>
    <col min="285" max="285" width="10.7109375" customWidth="1"/>
    <col min="290" max="290" width="6.5703125" customWidth="1"/>
    <col min="294" max="294" width="0.5703125" customWidth="1"/>
    <col min="295" max="295" width="15.28515625" customWidth="1"/>
    <col min="296" max="296" width="12.7109375" customWidth="1"/>
    <col min="297" max="297" width="12.85546875" customWidth="1"/>
    <col min="298" max="298" width="12.28515625" customWidth="1"/>
    <col min="299" max="299" width="11.7109375" customWidth="1"/>
    <col min="300" max="300" width="11.85546875" customWidth="1"/>
    <col min="307" max="307" width="5.42578125" customWidth="1"/>
    <col min="309" max="309" width="12.85546875" customWidth="1"/>
    <col min="310" max="310" width="12.7109375" customWidth="1"/>
    <col min="311" max="311" width="10.7109375" bestFit="1" customWidth="1"/>
    <col min="504" max="504" width="8.42578125" customWidth="1"/>
    <col min="505" max="505" width="15.42578125" customWidth="1"/>
    <col min="506" max="506" width="11.5703125" customWidth="1"/>
    <col min="508" max="508" width="25.7109375" customWidth="1"/>
    <col min="509" max="509" width="11.28515625" customWidth="1"/>
    <col min="510" max="510" width="12" customWidth="1"/>
    <col min="511" max="511" width="14.140625" customWidth="1"/>
    <col min="513" max="513" width="13" customWidth="1"/>
    <col min="515" max="515" width="13.5703125" customWidth="1"/>
    <col min="516" max="516" width="19.42578125" customWidth="1"/>
    <col min="517" max="517" width="6.5703125" customWidth="1"/>
    <col min="518" max="518" width="16.28515625" customWidth="1"/>
    <col min="519" max="519" width="12.140625" customWidth="1"/>
    <col min="520" max="520" width="8.7109375" customWidth="1"/>
    <col min="521" max="523" width="12.140625" customWidth="1"/>
    <col min="525" max="525" width="10.42578125" customWidth="1"/>
    <col min="526" max="526" width="13.5703125" customWidth="1"/>
    <col min="538" max="538" width="6.5703125" customWidth="1"/>
    <col min="539" max="539" width="11.140625" customWidth="1"/>
    <col min="540" max="540" width="12.7109375" customWidth="1"/>
    <col min="541" max="541" width="10.7109375" customWidth="1"/>
    <col min="546" max="546" width="6.5703125" customWidth="1"/>
    <col min="550" max="550" width="0.5703125" customWidth="1"/>
    <col min="551" max="551" width="15.28515625" customWidth="1"/>
    <col min="552" max="552" width="12.7109375" customWidth="1"/>
    <col min="553" max="553" width="12.85546875" customWidth="1"/>
    <col min="554" max="554" width="12.28515625" customWidth="1"/>
    <col min="555" max="555" width="11.7109375" customWidth="1"/>
    <col min="556" max="556" width="11.85546875" customWidth="1"/>
    <col min="563" max="563" width="5.42578125" customWidth="1"/>
    <col min="565" max="565" width="12.85546875" customWidth="1"/>
    <col min="566" max="566" width="12.7109375" customWidth="1"/>
    <col min="567" max="567" width="10.7109375" bestFit="1" customWidth="1"/>
    <col min="760" max="760" width="8.42578125" customWidth="1"/>
    <col min="761" max="761" width="15.42578125" customWidth="1"/>
    <col min="762" max="762" width="11.5703125" customWidth="1"/>
    <col min="764" max="764" width="25.7109375" customWidth="1"/>
    <col min="765" max="765" width="11.28515625" customWidth="1"/>
    <col min="766" max="766" width="12" customWidth="1"/>
    <col min="767" max="767" width="14.140625" customWidth="1"/>
    <col min="769" max="769" width="13" customWidth="1"/>
    <col min="771" max="771" width="13.5703125" customWidth="1"/>
    <col min="772" max="772" width="19.42578125" customWidth="1"/>
    <col min="773" max="773" width="6.5703125" customWidth="1"/>
    <col min="774" max="774" width="16.28515625" customWidth="1"/>
    <col min="775" max="775" width="12.140625" customWidth="1"/>
    <col min="776" max="776" width="8.7109375" customWidth="1"/>
    <col min="777" max="779" width="12.140625" customWidth="1"/>
    <col min="781" max="781" width="10.42578125" customWidth="1"/>
    <col min="782" max="782" width="13.5703125" customWidth="1"/>
    <col min="794" max="794" width="6.5703125" customWidth="1"/>
    <col min="795" max="795" width="11.140625" customWidth="1"/>
    <col min="796" max="796" width="12.7109375" customWidth="1"/>
    <col min="797" max="797" width="10.7109375" customWidth="1"/>
    <col min="802" max="802" width="6.5703125" customWidth="1"/>
    <col min="806" max="806" width="0.5703125" customWidth="1"/>
    <col min="807" max="807" width="15.28515625" customWidth="1"/>
    <col min="808" max="808" width="12.7109375" customWidth="1"/>
    <col min="809" max="809" width="12.85546875" customWidth="1"/>
    <col min="810" max="810" width="12.28515625" customWidth="1"/>
    <col min="811" max="811" width="11.7109375" customWidth="1"/>
    <col min="812" max="812" width="11.85546875" customWidth="1"/>
    <col min="819" max="819" width="5.42578125" customWidth="1"/>
    <col min="821" max="821" width="12.85546875" customWidth="1"/>
    <col min="822" max="822" width="12.7109375" customWidth="1"/>
    <col min="823" max="823" width="10.7109375" bestFit="1" customWidth="1"/>
    <col min="1016" max="1016" width="8.42578125" customWidth="1"/>
    <col min="1017" max="1017" width="15.42578125" customWidth="1"/>
    <col min="1018" max="1018" width="11.5703125" customWidth="1"/>
    <col min="1020" max="1020" width="25.7109375" customWidth="1"/>
    <col min="1021" max="1021" width="11.28515625" customWidth="1"/>
    <col min="1022" max="1022" width="12" customWidth="1"/>
    <col min="1023" max="1023" width="14.140625" customWidth="1"/>
    <col min="1025" max="1025" width="13" customWidth="1"/>
    <col min="1027" max="1027" width="13.5703125" customWidth="1"/>
    <col min="1028" max="1028" width="19.42578125" customWidth="1"/>
    <col min="1029" max="1029" width="6.5703125" customWidth="1"/>
    <col min="1030" max="1030" width="16.28515625" customWidth="1"/>
    <col min="1031" max="1031" width="12.140625" customWidth="1"/>
    <col min="1032" max="1032" width="8.7109375" customWidth="1"/>
    <col min="1033" max="1035" width="12.140625" customWidth="1"/>
    <col min="1037" max="1037" width="10.42578125" customWidth="1"/>
    <col min="1038" max="1038" width="13.5703125" customWidth="1"/>
    <col min="1050" max="1050" width="6.5703125" customWidth="1"/>
    <col min="1051" max="1051" width="11.140625" customWidth="1"/>
    <col min="1052" max="1052" width="12.7109375" customWidth="1"/>
    <col min="1053" max="1053" width="10.7109375" customWidth="1"/>
    <col min="1058" max="1058" width="6.5703125" customWidth="1"/>
    <col min="1062" max="1062" width="0.5703125" customWidth="1"/>
    <col min="1063" max="1063" width="15.28515625" customWidth="1"/>
    <col min="1064" max="1064" width="12.7109375" customWidth="1"/>
    <col min="1065" max="1065" width="12.85546875" customWidth="1"/>
    <col min="1066" max="1066" width="12.28515625" customWidth="1"/>
    <col min="1067" max="1067" width="11.7109375" customWidth="1"/>
    <col min="1068" max="1068" width="11.85546875" customWidth="1"/>
    <col min="1075" max="1075" width="5.42578125" customWidth="1"/>
    <col min="1077" max="1077" width="12.85546875" customWidth="1"/>
    <col min="1078" max="1078" width="12.7109375" customWidth="1"/>
    <col min="1079" max="1079" width="10.7109375" bestFit="1" customWidth="1"/>
    <col min="1272" max="1272" width="8.42578125" customWidth="1"/>
    <col min="1273" max="1273" width="15.42578125" customWidth="1"/>
    <col min="1274" max="1274" width="11.5703125" customWidth="1"/>
    <col min="1276" max="1276" width="25.7109375" customWidth="1"/>
    <col min="1277" max="1277" width="11.28515625" customWidth="1"/>
    <col min="1278" max="1278" width="12" customWidth="1"/>
    <col min="1279" max="1279" width="14.140625" customWidth="1"/>
    <col min="1281" max="1281" width="13" customWidth="1"/>
    <col min="1283" max="1283" width="13.5703125" customWidth="1"/>
    <col min="1284" max="1284" width="19.42578125" customWidth="1"/>
    <col min="1285" max="1285" width="6.5703125" customWidth="1"/>
    <col min="1286" max="1286" width="16.28515625" customWidth="1"/>
    <col min="1287" max="1287" width="12.140625" customWidth="1"/>
    <col min="1288" max="1288" width="8.7109375" customWidth="1"/>
    <col min="1289" max="1291" width="12.140625" customWidth="1"/>
    <col min="1293" max="1293" width="10.42578125" customWidth="1"/>
    <col min="1294" max="1294" width="13.5703125" customWidth="1"/>
    <col min="1306" max="1306" width="6.5703125" customWidth="1"/>
    <col min="1307" max="1307" width="11.140625" customWidth="1"/>
    <col min="1308" max="1308" width="12.7109375" customWidth="1"/>
    <col min="1309" max="1309" width="10.7109375" customWidth="1"/>
    <col min="1314" max="1314" width="6.5703125" customWidth="1"/>
    <col min="1318" max="1318" width="0.5703125" customWidth="1"/>
    <col min="1319" max="1319" width="15.28515625" customWidth="1"/>
    <col min="1320" max="1320" width="12.7109375" customWidth="1"/>
    <col min="1321" max="1321" width="12.85546875" customWidth="1"/>
    <col min="1322" max="1322" width="12.28515625" customWidth="1"/>
    <col min="1323" max="1323" width="11.7109375" customWidth="1"/>
    <col min="1324" max="1324" width="11.85546875" customWidth="1"/>
    <col min="1331" max="1331" width="5.42578125" customWidth="1"/>
    <col min="1333" max="1333" width="12.85546875" customWidth="1"/>
    <col min="1334" max="1334" width="12.7109375" customWidth="1"/>
    <col min="1335" max="1335" width="10.7109375" bestFit="1" customWidth="1"/>
    <col min="1528" max="1528" width="8.42578125" customWidth="1"/>
    <col min="1529" max="1529" width="15.42578125" customWidth="1"/>
    <col min="1530" max="1530" width="11.5703125" customWidth="1"/>
    <col min="1532" max="1532" width="25.7109375" customWidth="1"/>
    <col min="1533" max="1533" width="11.28515625" customWidth="1"/>
    <col min="1534" max="1534" width="12" customWidth="1"/>
    <col min="1535" max="1535" width="14.140625" customWidth="1"/>
    <col min="1537" max="1537" width="13" customWidth="1"/>
    <col min="1539" max="1539" width="13.5703125" customWidth="1"/>
    <col min="1540" max="1540" width="19.42578125" customWidth="1"/>
    <col min="1541" max="1541" width="6.5703125" customWidth="1"/>
    <col min="1542" max="1542" width="16.28515625" customWidth="1"/>
    <col min="1543" max="1543" width="12.140625" customWidth="1"/>
    <col min="1544" max="1544" width="8.7109375" customWidth="1"/>
    <col min="1545" max="1547" width="12.140625" customWidth="1"/>
    <col min="1549" max="1549" width="10.42578125" customWidth="1"/>
    <col min="1550" max="1550" width="13.5703125" customWidth="1"/>
    <col min="1562" max="1562" width="6.5703125" customWidth="1"/>
    <col min="1563" max="1563" width="11.140625" customWidth="1"/>
    <col min="1564" max="1564" width="12.7109375" customWidth="1"/>
    <col min="1565" max="1565" width="10.7109375" customWidth="1"/>
    <col min="1570" max="1570" width="6.5703125" customWidth="1"/>
    <col min="1574" max="1574" width="0.5703125" customWidth="1"/>
    <col min="1575" max="1575" width="15.28515625" customWidth="1"/>
    <col min="1576" max="1576" width="12.7109375" customWidth="1"/>
    <col min="1577" max="1577" width="12.85546875" customWidth="1"/>
    <col min="1578" max="1578" width="12.28515625" customWidth="1"/>
    <col min="1579" max="1579" width="11.7109375" customWidth="1"/>
    <col min="1580" max="1580" width="11.85546875" customWidth="1"/>
    <col min="1587" max="1587" width="5.42578125" customWidth="1"/>
    <col min="1589" max="1589" width="12.85546875" customWidth="1"/>
    <col min="1590" max="1590" width="12.7109375" customWidth="1"/>
    <col min="1591" max="1591" width="10.7109375" bestFit="1" customWidth="1"/>
    <col min="1784" max="1784" width="8.42578125" customWidth="1"/>
    <col min="1785" max="1785" width="15.42578125" customWidth="1"/>
    <col min="1786" max="1786" width="11.5703125" customWidth="1"/>
    <col min="1788" max="1788" width="25.7109375" customWidth="1"/>
    <col min="1789" max="1789" width="11.28515625" customWidth="1"/>
    <col min="1790" max="1790" width="12" customWidth="1"/>
    <col min="1791" max="1791" width="14.140625" customWidth="1"/>
    <col min="1793" max="1793" width="13" customWidth="1"/>
    <col min="1795" max="1795" width="13.5703125" customWidth="1"/>
    <col min="1796" max="1796" width="19.42578125" customWidth="1"/>
    <col min="1797" max="1797" width="6.5703125" customWidth="1"/>
    <col min="1798" max="1798" width="16.28515625" customWidth="1"/>
    <col min="1799" max="1799" width="12.140625" customWidth="1"/>
    <col min="1800" max="1800" width="8.7109375" customWidth="1"/>
    <col min="1801" max="1803" width="12.140625" customWidth="1"/>
    <col min="1805" max="1805" width="10.42578125" customWidth="1"/>
    <col min="1806" max="1806" width="13.5703125" customWidth="1"/>
    <col min="1818" max="1818" width="6.5703125" customWidth="1"/>
    <col min="1819" max="1819" width="11.140625" customWidth="1"/>
    <col min="1820" max="1820" width="12.7109375" customWidth="1"/>
    <col min="1821" max="1821" width="10.7109375" customWidth="1"/>
    <col min="1826" max="1826" width="6.5703125" customWidth="1"/>
    <col min="1830" max="1830" width="0.5703125" customWidth="1"/>
    <col min="1831" max="1831" width="15.28515625" customWidth="1"/>
    <col min="1832" max="1832" width="12.7109375" customWidth="1"/>
    <col min="1833" max="1833" width="12.85546875" customWidth="1"/>
    <col min="1834" max="1834" width="12.28515625" customWidth="1"/>
    <col min="1835" max="1835" width="11.7109375" customWidth="1"/>
    <col min="1836" max="1836" width="11.85546875" customWidth="1"/>
    <col min="1843" max="1843" width="5.42578125" customWidth="1"/>
    <col min="1845" max="1845" width="12.85546875" customWidth="1"/>
    <col min="1846" max="1846" width="12.7109375" customWidth="1"/>
    <col min="1847" max="1847" width="10.7109375" bestFit="1" customWidth="1"/>
    <col min="2040" max="2040" width="8.42578125" customWidth="1"/>
    <col min="2041" max="2041" width="15.42578125" customWidth="1"/>
    <col min="2042" max="2042" width="11.5703125" customWidth="1"/>
    <col min="2044" max="2044" width="25.7109375" customWidth="1"/>
    <col min="2045" max="2045" width="11.28515625" customWidth="1"/>
    <col min="2046" max="2046" width="12" customWidth="1"/>
    <col min="2047" max="2047" width="14.140625" customWidth="1"/>
    <col min="2049" max="2049" width="13" customWidth="1"/>
    <col min="2051" max="2051" width="13.5703125" customWidth="1"/>
    <col min="2052" max="2052" width="19.42578125" customWidth="1"/>
    <col min="2053" max="2053" width="6.5703125" customWidth="1"/>
    <col min="2054" max="2054" width="16.28515625" customWidth="1"/>
    <col min="2055" max="2055" width="12.140625" customWidth="1"/>
    <col min="2056" max="2056" width="8.7109375" customWidth="1"/>
    <col min="2057" max="2059" width="12.140625" customWidth="1"/>
    <col min="2061" max="2061" width="10.42578125" customWidth="1"/>
    <col min="2062" max="2062" width="13.5703125" customWidth="1"/>
    <col min="2074" max="2074" width="6.5703125" customWidth="1"/>
    <col min="2075" max="2075" width="11.140625" customWidth="1"/>
    <col min="2076" max="2076" width="12.7109375" customWidth="1"/>
    <col min="2077" max="2077" width="10.7109375" customWidth="1"/>
    <col min="2082" max="2082" width="6.5703125" customWidth="1"/>
    <col min="2086" max="2086" width="0.5703125" customWidth="1"/>
    <col min="2087" max="2087" width="15.28515625" customWidth="1"/>
    <col min="2088" max="2088" width="12.7109375" customWidth="1"/>
    <col min="2089" max="2089" width="12.85546875" customWidth="1"/>
    <col min="2090" max="2090" width="12.28515625" customWidth="1"/>
    <col min="2091" max="2091" width="11.7109375" customWidth="1"/>
    <col min="2092" max="2092" width="11.85546875" customWidth="1"/>
    <col min="2099" max="2099" width="5.42578125" customWidth="1"/>
    <col min="2101" max="2101" width="12.85546875" customWidth="1"/>
    <col min="2102" max="2102" width="12.7109375" customWidth="1"/>
    <col min="2103" max="2103" width="10.7109375" bestFit="1" customWidth="1"/>
    <col min="2296" max="2296" width="8.42578125" customWidth="1"/>
    <col min="2297" max="2297" width="15.42578125" customWidth="1"/>
    <col min="2298" max="2298" width="11.5703125" customWidth="1"/>
    <col min="2300" max="2300" width="25.7109375" customWidth="1"/>
    <col min="2301" max="2301" width="11.28515625" customWidth="1"/>
    <col min="2302" max="2302" width="12" customWidth="1"/>
    <col min="2303" max="2303" width="14.140625" customWidth="1"/>
    <col min="2305" max="2305" width="13" customWidth="1"/>
    <col min="2307" max="2307" width="13.5703125" customWidth="1"/>
    <col min="2308" max="2308" width="19.42578125" customWidth="1"/>
    <col min="2309" max="2309" width="6.5703125" customWidth="1"/>
    <col min="2310" max="2310" width="16.28515625" customWidth="1"/>
    <col min="2311" max="2311" width="12.140625" customWidth="1"/>
    <col min="2312" max="2312" width="8.7109375" customWidth="1"/>
    <col min="2313" max="2315" width="12.140625" customWidth="1"/>
    <col min="2317" max="2317" width="10.42578125" customWidth="1"/>
    <col min="2318" max="2318" width="13.5703125" customWidth="1"/>
    <col min="2330" max="2330" width="6.5703125" customWidth="1"/>
    <col min="2331" max="2331" width="11.140625" customWidth="1"/>
    <col min="2332" max="2332" width="12.7109375" customWidth="1"/>
    <col min="2333" max="2333" width="10.7109375" customWidth="1"/>
    <col min="2338" max="2338" width="6.5703125" customWidth="1"/>
    <col min="2342" max="2342" width="0.5703125" customWidth="1"/>
    <col min="2343" max="2343" width="15.28515625" customWidth="1"/>
    <col min="2344" max="2344" width="12.7109375" customWidth="1"/>
    <col min="2345" max="2345" width="12.85546875" customWidth="1"/>
    <col min="2346" max="2346" width="12.28515625" customWidth="1"/>
    <col min="2347" max="2347" width="11.7109375" customWidth="1"/>
    <col min="2348" max="2348" width="11.85546875" customWidth="1"/>
    <col min="2355" max="2355" width="5.42578125" customWidth="1"/>
    <col min="2357" max="2357" width="12.85546875" customWidth="1"/>
    <col min="2358" max="2358" width="12.7109375" customWidth="1"/>
    <col min="2359" max="2359" width="10.7109375" bestFit="1" customWidth="1"/>
    <col min="2552" max="2552" width="8.42578125" customWidth="1"/>
    <col min="2553" max="2553" width="15.42578125" customWidth="1"/>
    <col min="2554" max="2554" width="11.5703125" customWidth="1"/>
    <col min="2556" max="2556" width="25.7109375" customWidth="1"/>
    <col min="2557" max="2557" width="11.28515625" customWidth="1"/>
    <col min="2558" max="2558" width="12" customWidth="1"/>
    <col min="2559" max="2559" width="14.140625" customWidth="1"/>
    <col min="2561" max="2561" width="13" customWidth="1"/>
    <col min="2563" max="2563" width="13.5703125" customWidth="1"/>
    <col min="2564" max="2564" width="19.42578125" customWidth="1"/>
    <col min="2565" max="2565" width="6.5703125" customWidth="1"/>
    <col min="2566" max="2566" width="16.28515625" customWidth="1"/>
    <col min="2567" max="2567" width="12.140625" customWidth="1"/>
    <col min="2568" max="2568" width="8.7109375" customWidth="1"/>
    <col min="2569" max="2571" width="12.140625" customWidth="1"/>
    <col min="2573" max="2573" width="10.42578125" customWidth="1"/>
    <col min="2574" max="2574" width="13.5703125" customWidth="1"/>
    <col min="2586" max="2586" width="6.5703125" customWidth="1"/>
    <col min="2587" max="2587" width="11.140625" customWidth="1"/>
    <col min="2588" max="2588" width="12.7109375" customWidth="1"/>
    <col min="2589" max="2589" width="10.7109375" customWidth="1"/>
    <col min="2594" max="2594" width="6.5703125" customWidth="1"/>
    <col min="2598" max="2598" width="0.5703125" customWidth="1"/>
    <col min="2599" max="2599" width="15.28515625" customWidth="1"/>
    <col min="2600" max="2600" width="12.7109375" customWidth="1"/>
    <col min="2601" max="2601" width="12.85546875" customWidth="1"/>
    <col min="2602" max="2602" width="12.28515625" customWidth="1"/>
    <col min="2603" max="2603" width="11.7109375" customWidth="1"/>
    <col min="2604" max="2604" width="11.85546875" customWidth="1"/>
    <col min="2611" max="2611" width="5.42578125" customWidth="1"/>
    <col min="2613" max="2613" width="12.85546875" customWidth="1"/>
    <col min="2614" max="2614" width="12.7109375" customWidth="1"/>
    <col min="2615" max="2615" width="10.7109375" bestFit="1" customWidth="1"/>
    <col min="2808" max="2808" width="8.42578125" customWidth="1"/>
    <col min="2809" max="2809" width="15.42578125" customWidth="1"/>
    <col min="2810" max="2810" width="11.5703125" customWidth="1"/>
    <col min="2812" max="2812" width="25.7109375" customWidth="1"/>
    <col min="2813" max="2813" width="11.28515625" customWidth="1"/>
    <col min="2814" max="2814" width="12" customWidth="1"/>
    <col min="2815" max="2815" width="14.140625" customWidth="1"/>
    <col min="2817" max="2817" width="13" customWidth="1"/>
    <col min="2819" max="2819" width="13.5703125" customWidth="1"/>
    <col min="2820" max="2820" width="19.42578125" customWidth="1"/>
    <col min="2821" max="2821" width="6.5703125" customWidth="1"/>
    <col min="2822" max="2822" width="16.28515625" customWidth="1"/>
    <col min="2823" max="2823" width="12.140625" customWidth="1"/>
    <col min="2824" max="2824" width="8.7109375" customWidth="1"/>
    <col min="2825" max="2827" width="12.140625" customWidth="1"/>
    <col min="2829" max="2829" width="10.42578125" customWidth="1"/>
    <col min="2830" max="2830" width="13.5703125" customWidth="1"/>
    <col min="2842" max="2842" width="6.5703125" customWidth="1"/>
    <col min="2843" max="2843" width="11.140625" customWidth="1"/>
    <col min="2844" max="2844" width="12.7109375" customWidth="1"/>
    <col min="2845" max="2845" width="10.7109375" customWidth="1"/>
    <col min="2850" max="2850" width="6.5703125" customWidth="1"/>
    <col min="2854" max="2854" width="0.5703125" customWidth="1"/>
    <col min="2855" max="2855" width="15.28515625" customWidth="1"/>
    <col min="2856" max="2856" width="12.7109375" customWidth="1"/>
    <col min="2857" max="2857" width="12.85546875" customWidth="1"/>
    <col min="2858" max="2858" width="12.28515625" customWidth="1"/>
    <col min="2859" max="2859" width="11.7109375" customWidth="1"/>
    <col min="2860" max="2860" width="11.85546875" customWidth="1"/>
    <col min="2867" max="2867" width="5.42578125" customWidth="1"/>
    <col min="2869" max="2869" width="12.85546875" customWidth="1"/>
    <col min="2870" max="2870" width="12.7109375" customWidth="1"/>
    <col min="2871" max="2871" width="10.7109375" bestFit="1" customWidth="1"/>
    <col min="3064" max="3064" width="8.42578125" customWidth="1"/>
    <col min="3065" max="3065" width="15.42578125" customWidth="1"/>
    <col min="3066" max="3066" width="11.5703125" customWidth="1"/>
    <col min="3068" max="3068" width="25.7109375" customWidth="1"/>
    <col min="3069" max="3069" width="11.28515625" customWidth="1"/>
    <col min="3070" max="3070" width="12" customWidth="1"/>
    <col min="3071" max="3071" width="14.140625" customWidth="1"/>
    <col min="3073" max="3073" width="13" customWidth="1"/>
    <col min="3075" max="3075" width="13.5703125" customWidth="1"/>
    <col min="3076" max="3076" width="19.42578125" customWidth="1"/>
    <col min="3077" max="3077" width="6.5703125" customWidth="1"/>
    <col min="3078" max="3078" width="16.28515625" customWidth="1"/>
    <col min="3079" max="3079" width="12.140625" customWidth="1"/>
    <col min="3080" max="3080" width="8.7109375" customWidth="1"/>
    <col min="3081" max="3083" width="12.140625" customWidth="1"/>
    <col min="3085" max="3085" width="10.42578125" customWidth="1"/>
    <col min="3086" max="3086" width="13.5703125" customWidth="1"/>
    <col min="3098" max="3098" width="6.5703125" customWidth="1"/>
    <col min="3099" max="3099" width="11.140625" customWidth="1"/>
    <col min="3100" max="3100" width="12.7109375" customWidth="1"/>
    <col min="3101" max="3101" width="10.7109375" customWidth="1"/>
    <col min="3106" max="3106" width="6.5703125" customWidth="1"/>
    <col min="3110" max="3110" width="0.5703125" customWidth="1"/>
    <col min="3111" max="3111" width="15.28515625" customWidth="1"/>
    <col min="3112" max="3112" width="12.7109375" customWidth="1"/>
    <col min="3113" max="3113" width="12.85546875" customWidth="1"/>
    <col min="3114" max="3114" width="12.28515625" customWidth="1"/>
    <col min="3115" max="3115" width="11.7109375" customWidth="1"/>
    <col min="3116" max="3116" width="11.85546875" customWidth="1"/>
    <col min="3123" max="3123" width="5.42578125" customWidth="1"/>
    <col min="3125" max="3125" width="12.85546875" customWidth="1"/>
    <col min="3126" max="3126" width="12.7109375" customWidth="1"/>
    <col min="3127" max="3127" width="10.7109375" bestFit="1" customWidth="1"/>
    <col min="3320" max="3320" width="8.42578125" customWidth="1"/>
    <col min="3321" max="3321" width="15.42578125" customWidth="1"/>
    <col min="3322" max="3322" width="11.5703125" customWidth="1"/>
    <col min="3324" max="3324" width="25.7109375" customWidth="1"/>
    <col min="3325" max="3325" width="11.28515625" customWidth="1"/>
    <col min="3326" max="3326" width="12" customWidth="1"/>
    <col min="3327" max="3327" width="14.140625" customWidth="1"/>
    <col min="3329" max="3329" width="13" customWidth="1"/>
    <col min="3331" max="3331" width="13.5703125" customWidth="1"/>
    <col min="3332" max="3332" width="19.42578125" customWidth="1"/>
    <col min="3333" max="3333" width="6.5703125" customWidth="1"/>
    <col min="3334" max="3334" width="16.28515625" customWidth="1"/>
    <col min="3335" max="3335" width="12.140625" customWidth="1"/>
    <col min="3336" max="3336" width="8.7109375" customWidth="1"/>
    <col min="3337" max="3339" width="12.140625" customWidth="1"/>
    <col min="3341" max="3341" width="10.42578125" customWidth="1"/>
    <col min="3342" max="3342" width="13.5703125" customWidth="1"/>
    <col min="3354" max="3354" width="6.5703125" customWidth="1"/>
    <col min="3355" max="3355" width="11.140625" customWidth="1"/>
    <col min="3356" max="3356" width="12.7109375" customWidth="1"/>
    <col min="3357" max="3357" width="10.7109375" customWidth="1"/>
    <col min="3362" max="3362" width="6.5703125" customWidth="1"/>
    <col min="3366" max="3366" width="0.5703125" customWidth="1"/>
    <col min="3367" max="3367" width="15.28515625" customWidth="1"/>
    <col min="3368" max="3368" width="12.7109375" customWidth="1"/>
    <col min="3369" max="3369" width="12.85546875" customWidth="1"/>
    <col min="3370" max="3370" width="12.28515625" customWidth="1"/>
    <col min="3371" max="3371" width="11.7109375" customWidth="1"/>
    <col min="3372" max="3372" width="11.85546875" customWidth="1"/>
    <col min="3379" max="3379" width="5.42578125" customWidth="1"/>
    <col min="3381" max="3381" width="12.85546875" customWidth="1"/>
    <col min="3382" max="3382" width="12.7109375" customWidth="1"/>
    <col min="3383" max="3383" width="10.7109375" bestFit="1" customWidth="1"/>
    <col min="3576" max="3576" width="8.42578125" customWidth="1"/>
    <col min="3577" max="3577" width="15.42578125" customWidth="1"/>
    <col min="3578" max="3578" width="11.5703125" customWidth="1"/>
    <col min="3580" max="3580" width="25.7109375" customWidth="1"/>
    <col min="3581" max="3581" width="11.28515625" customWidth="1"/>
    <col min="3582" max="3582" width="12" customWidth="1"/>
    <col min="3583" max="3583" width="14.140625" customWidth="1"/>
    <col min="3585" max="3585" width="13" customWidth="1"/>
    <col min="3587" max="3587" width="13.5703125" customWidth="1"/>
    <col min="3588" max="3588" width="19.42578125" customWidth="1"/>
    <col min="3589" max="3589" width="6.5703125" customWidth="1"/>
    <col min="3590" max="3590" width="16.28515625" customWidth="1"/>
    <col min="3591" max="3591" width="12.140625" customWidth="1"/>
    <col min="3592" max="3592" width="8.7109375" customWidth="1"/>
    <col min="3593" max="3595" width="12.140625" customWidth="1"/>
    <col min="3597" max="3597" width="10.42578125" customWidth="1"/>
    <col min="3598" max="3598" width="13.5703125" customWidth="1"/>
    <col min="3610" max="3610" width="6.5703125" customWidth="1"/>
    <col min="3611" max="3611" width="11.140625" customWidth="1"/>
    <col min="3612" max="3612" width="12.7109375" customWidth="1"/>
    <col min="3613" max="3613" width="10.7109375" customWidth="1"/>
    <col min="3618" max="3618" width="6.5703125" customWidth="1"/>
    <col min="3622" max="3622" width="0.5703125" customWidth="1"/>
    <col min="3623" max="3623" width="15.28515625" customWidth="1"/>
    <col min="3624" max="3624" width="12.7109375" customWidth="1"/>
    <col min="3625" max="3625" width="12.85546875" customWidth="1"/>
    <col min="3626" max="3626" width="12.28515625" customWidth="1"/>
    <col min="3627" max="3627" width="11.7109375" customWidth="1"/>
    <col min="3628" max="3628" width="11.85546875" customWidth="1"/>
    <col min="3635" max="3635" width="5.42578125" customWidth="1"/>
    <col min="3637" max="3637" width="12.85546875" customWidth="1"/>
    <col min="3638" max="3638" width="12.7109375" customWidth="1"/>
    <col min="3639" max="3639" width="10.7109375" bestFit="1" customWidth="1"/>
    <col min="3832" max="3832" width="8.42578125" customWidth="1"/>
    <col min="3833" max="3833" width="15.42578125" customWidth="1"/>
    <col min="3834" max="3834" width="11.5703125" customWidth="1"/>
    <col min="3836" max="3836" width="25.7109375" customWidth="1"/>
    <col min="3837" max="3837" width="11.28515625" customWidth="1"/>
    <col min="3838" max="3838" width="12" customWidth="1"/>
    <col min="3839" max="3839" width="14.140625" customWidth="1"/>
    <col min="3841" max="3841" width="13" customWidth="1"/>
    <col min="3843" max="3843" width="13.5703125" customWidth="1"/>
    <col min="3844" max="3844" width="19.42578125" customWidth="1"/>
    <col min="3845" max="3845" width="6.5703125" customWidth="1"/>
    <col min="3846" max="3846" width="16.28515625" customWidth="1"/>
    <col min="3847" max="3847" width="12.140625" customWidth="1"/>
    <col min="3848" max="3848" width="8.7109375" customWidth="1"/>
    <col min="3849" max="3851" width="12.140625" customWidth="1"/>
    <col min="3853" max="3853" width="10.42578125" customWidth="1"/>
    <col min="3854" max="3854" width="13.5703125" customWidth="1"/>
    <col min="3866" max="3866" width="6.5703125" customWidth="1"/>
    <col min="3867" max="3867" width="11.140625" customWidth="1"/>
    <col min="3868" max="3868" width="12.7109375" customWidth="1"/>
    <col min="3869" max="3869" width="10.7109375" customWidth="1"/>
    <col min="3874" max="3874" width="6.5703125" customWidth="1"/>
    <col min="3878" max="3878" width="0.5703125" customWidth="1"/>
    <col min="3879" max="3879" width="15.28515625" customWidth="1"/>
    <col min="3880" max="3880" width="12.7109375" customWidth="1"/>
    <col min="3881" max="3881" width="12.85546875" customWidth="1"/>
    <col min="3882" max="3882" width="12.28515625" customWidth="1"/>
    <col min="3883" max="3883" width="11.7109375" customWidth="1"/>
    <col min="3884" max="3884" width="11.85546875" customWidth="1"/>
    <col min="3891" max="3891" width="5.42578125" customWidth="1"/>
    <col min="3893" max="3893" width="12.85546875" customWidth="1"/>
    <col min="3894" max="3894" width="12.7109375" customWidth="1"/>
    <col min="3895" max="3895" width="10.7109375" bestFit="1" customWidth="1"/>
    <col min="4088" max="4088" width="8.42578125" customWidth="1"/>
    <col min="4089" max="4089" width="15.42578125" customWidth="1"/>
    <col min="4090" max="4090" width="11.5703125" customWidth="1"/>
    <col min="4092" max="4092" width="25.7109375" customWidth="1"/>
    <col min="4093" max="4093" width="11.28515625" customWidth="1"/>
    <col min="4094" max="4094" width="12" customWidth="1"/>
    <col min="4095" max="4095" width="14.140625" customWidth="1"/>
    <col min="4097" max="4097" width="13" customWidth="1"/>
    <col min="4099" max="4099" width="13.5703125" customWidth="1"/>
    <col min="4100" max="4100" width="19.42578125" customWidth="1"/>
    <col min="4101" max="4101" width="6.5703125" customWidth="1"/>
    <col min="4102" max="4102" width="16.28515625" customWidth="1"/>
    <col min="4103" max="4103" width="12.140625" customWidth="1"/>
    <col min="4104" max="4104" width="8.7109375" customWidth="1"/>
    <col min="4105" max="4107" width="12.140625" customWidth="1"/>
    <col min="4109" max="4109" width="10.42578125" customWidth="1"/>
    <col min="4110" max="4110" width="13.5703125" customWidth="1"/>
    <col min="4122" max="4122" width="6.5703125" customWidth="1"/>
    <col min="4123" max="4123" width="11.140625" customWidth="1"/>
    <col min="4124" max="4124" width="12.7109375" customWidth="1"/>
    <col min="4125" max="4125" width="10.7109375" customWidth="1"/>
    <col min="4130" max="4130" width="6.5703125" customWidth="1"/>
    <col min="4134" max="4134" width="0.5703125" customWidth="1"/>
    <col min="4135" max="4135" width="15.28515625" customWidth="1"/>
    <col min="4136" max="4136" width="12.7109375" customWidth="1"/>
    <col min="4137" max="4137" width="12.85546875" customWidth="1"/>
    <col min="4138" max="4138" width="12.28515625" customWidth="1"/>
    <col min="4139" max="4139" width="11.7109375" customWidth="1"/>
    <col min="4140" max="4140" width="11.85546875" customWidth="1"/>
    <col min="4147" max="4147" width="5.42578125" customWidth="1"/>
    <col min="4149" max="4149" width="12.85546875" customWidth="1"/>
    <col min="4150" max="4150" width="12.7109375" customWidth="1"/>
    <col min="4151" max="4151" width="10.7109375" bestFit="1" customWidth="1"/>
    <col min="4344" max="4344" width="8.42578125" customWidth="1"/>
    <col min="4345" max="4345" width="15.42578125" customWidth="1"/>
    <col min="4346" max="4346" width="11.5703125" customWidth="1"/>
    <col min="4348" max="4348" width="25.7109375" customWidth="1"/>
    <col min="4349" max="4349" width="11.28515625" customWidth="1"/>
    <col min="4350" max="4350" width="12" customWidth="1"/>
    <col min="4351" max="4351" width="14.140625" customWidth="1"/>
    <col min="4353" max="4353" width="13" customWidth="1"/>
    <col min="4355" max="4355" width="13.5703125" customWidth="1"/>
    <col min="4356" max="4356" width="19.42578125" customWidth="1"/>
    <col min="4357" max="4357" width="6.5703125" customWidth="1"/>
    <col min="4358" max="4358" width="16.28515625" customWidth="1"/>
    <col min="4359" max="4359" width="12.140625" customWidth="1"/>
    <col min="4360" max="4360" width="8.7109375" customWidth="1"/>
    <col min="4361" max="4363" width="12.140625" customWidth="1"/>
    <col min="4365" max="4365" width="10.42578125" customWidth="1"/>
    <col min="4366" max="4366" width="13.5703125" customWidth="1"/>
    <col min="4378" max="4378" width="6.5703125" customWidth="1"/>
    <col min="4379" max="4379" width="11.140625" customWidth="1"/>
    <col min="4380" max="4380" width="12.7109375" customWidth="1"/>
    <col min="4381" max="4381" width="10.7109375" customWidth="1"/>
    <col min="4386" max="4386" width="6.5703125" customWidth="1"/>
    <col min="4390" max="4390" width="0.5703125" customWidth="1"/>
    <col min="4391" max="4391" width="15.28515625" customWidth="1"/>
    <col min="4392" max="4392" width="12.7109375" customWidth="1"/>
    <col min="4393" max="4393" width="12.85546875" customWidth="1"/>
    <col min="4394" max="4394" width="12.28515625" customWidth="1"/>
    <col min="4395" max="4395" width="11.7109375" customWidth="1"/>
    <col min="4396" max="4396" width="11.85546875" customWidth="1"/>
    <col min="4403" max="4403" width="5.42578125" customWidth="1"/>
    <col min="4405" max="4405" width="12.85546875" customWidth="1"/>
    <col min="4406" max="4406" width="12.7109375" customWidth="1"/>
    <col min="4407" max="4407" width="10.7109375" bestFit="1" customWidth="1"/>
    <col min="4600" max="4600" width="8.42578125" customWidth="1"/>
    <col min="4601" max="4601" width="15.42578125" customWidth="1"/>
    <col min="4602" max="4602" width="11.5703125" customWidth="1"/>
    <col min="4604" max="4604" width="25.7109375" customWidth="1"/>
    <col min="4605" max="4605" width="11.28515625" customWidth="1"/>
    <col min="4606" max="4606" width="12" customWidth="1"/>
    <col min="4607" max="4607" width="14.140625" customWidth="1"/>
    <col min="4609" max="4609" width="13" customWidth="1"/>
    <col min="4611" max="4611" width="13.5703125" customWidth="1"/>
    <col min="4612" max="4612" width="19.42578125" customWidth="1"/>
    <col min="4613" max="4613" width="6.5703125" customWidth="1"/>
    <col min="4614" max="4614" width="16.28515625" customWidth="1"/>
    <col min="4615" max="4615" width="12.140625" customWidth="1"/>
    <col min="4616" max="4616" width="8.7109375" customWidth="1"/>
    <col min="4617" max="4619" width="12.140625" customWidth="1"/>
    <col min="4621" max="4621" width="10.42578125" customWidth="1"/>
    <col min="4622" max="4622" width="13.5703125" customWidth="1"/>
    <col min="4634" max="4634" width="6.5703125" customWidth="1"/>
    <col min="4635" max="4635" width="11.140625" customWidth="1"/>
    <col min="4636" max="4636" width="12.7109375" customWidth="1"/>
    <col min="4637" max="4637" width="10.7109375" customWidth="1"/>
    <col min="4642" max="4642" width="6.5703125" customWidth="1"/>
    <col min="4646" max="4646" width="0.5703125" customWidth="1"/>
    <col min="4647" max="4647" width="15.28515625" customWidth="1"/>
    <col min="4648" max="4648" width="12.7109375" customWidth="1"/>
    <col min="4649" max="4649" width="12.85546875" customWidth="1"/>
    <col min="4650" max="4650" width="12.28515625" customWidth="1"/>
    <col min="4651" max="4651" width="11.7109375" customWidth="1"/>
    <col min="4652" max="4652" width="11.85546875" customWidth="1"/>
    <col min="4659" max="4659" width="5.42578125" customWidth="1"/>
    <col min="4661" max="4661" width="12.85546875" customWidth="1"/>
    <col min="4662" max="4662" width="12.7109375" customWidth="1"/>
    <col min="4663" max="4663" width="10.7109375" bestFit="1" customWidth="1"/>
    <col min="4856" max="4856" width="8.42578125" customWidth="1"/>
    <col min="4857" max="4857" width="15.42578125" customWidth="1"/>
    <col min="4858" max="4858" width="11.5703125" customWidth="1"/>
    <col min="4860" max="4860" width="25.7109375" customWidth="1"/>
    <col min="4861" max="4861" width="11.28515625" customWidth="1"/>
    <col min="4862" max="4862" width="12" customWidth="1"/>
    <col min="4863" max="4863" width="14.140625" customWidth="1"/>
    <col min="4865" max="4865" width="13" customWidth="1"/>
    <col min="4867" max="4867" width="13.5703125" customWidth="1"/>
    <col min="4868" max="4868" width="19.42578125" customWidth="1"/>
    <col min="4869" max="4869" width="6.5703125" customWidth="1"/>
    <col min="4870" max="4870" width="16.28515625" customWidth="1"/>
    <col min="4871" max="4871" width="12.140625" customWidth="1"/>
    <col min="4872" max="4872" width="8.7109375" customWidth="1"/>
    <col min="4873" max="4875" width="12.140625" customWidth="1"/>
    <col min="4877" max="4877" width="10.42578125" customWidth="1"/>
    <col min="4878" max="4878" width="13.5703125" customWidth="1"/>
    <col min="4890" max="4890" width="6.5703125" customWidth="1"/>
    <col min="4891" max="4891" width="11.140625" customWidth="1"/>
    <col min="4892" max="4892" width="12.7109375" customWidth="1"/>
    <col min="4893" max="4893" width="10.7109375" customWidth="1"/>
    <col min="4898" max="4898" width="6.5703125" customWidth="1"/>
    <col min="4902" max="4902" width="0.5703125" customWidth="1"/>
    <col min="4903" max="4903" width="15.28515625" customWidth="1"/>
    <col min="4904" max="4904" width="12.7109375" customWidth="1"/>
    <col min="4905" max="4905" width="12.85546875" customWidth="1"/>
    <col min="4906" max="4906" width="12.28515625" customWidth="1"/>
    <col min="4907" max="4907" width="11.7109375" customWidth="1"/>
    <col min="4908" max="4908" width="11.85546875" customWidth="1"/>
    <col min="4915" max="4915" width="5.42578125" customWidth="1"/>
    <col min="4917" max="4917" width="12.85546875" customWidth="1"/>
    <col min="4918" max="4918" width="12.7109375" customWidth="1"/>
    <col min="4919" max="4919" width="10.7109375" bestFit="1" customWidth="1"/>
    <col min="5112" max="5112" width="8.42578125" customWidth="1"/>
    <col min="5113" max="5113" width="15.42578125" customWidth="1"/>
    <col min="5114" max="5114" width="11.5703125" customWidth="1"/>
    <col min="5116" max="5116" width="25.7109375" customWidth="1"/>
    <col min="5117" max="5117" width="11.28515625" customWidth="1"/>
    <col min="5118" max="5118" width="12" customWidth="1"/>
    <col min="5119" max="5119" width="14.140625" customWidth="1"/>
    <col min="5121" max="5121" width="13" customWidth="1"/>
    <col min="5123" max="5123" width="13.5703125" customWidth="1"/>
    <col min="5124" max="5124" width="19.42578125" customWidth="1"/>
    <col min="5125" max="5125" width="6.5703125" customWidth="1"/>
    <col min="5126" max="5126" width="16.28515625" customWidth="1"/>
    <col min="5127" max="5127" width="12.140625" customWidth="1"/>
    <col min="5128" max="5128" width="8.7109375" customWidth="1"/>
    <col min="5129" max="5131" width="12.140625" customWidth="1"/>
    <col min="5133" max="5133" width="10.42578125" customWidth="1"/>
    <col min="5134" max="5134" width="13.5703125" customWidth="1"/>
    <col min="5146" max="5146" width="6.5703125" customWidth="1"/>
    <col min="5147" max="5147" width="11.140625" customWidth="1"/>
    <col min="5148" max="5148" width="12.7109375" customWidth="1"/>
    <col min="5149" max="5149" width="10.7109375" customWidth="1"/>
    <col min="5154" max="5154" width="6.5703125" customWidth="1"/>
    <col min="5158" max="5158" width="0.5703125" customWidth="1"/>
    <col min="5159" max="5159" width="15.28515625" customWidth="1"/>
    <col min="5160" max="5160" width="12.7109375" customWidth="1"/>
    <col min="5161" max="5161" width="12.85546875" customWidth="1"/>
    <col min="5162" max="5162" width="12.28515625" customWidth="1"/>
    <col min="5163" max="5163" width="11.7109375" customWidth="1"/>
    <col min="5164" max="5164" width="11.85546875" customWidth="1"/>
    <col min="5171" max="5171" width="5.42578125" customWidth="1"/>
    <col min="5173" max="5173" width="12.85546875" customWidth="1"/>
    <col min="5174" max="5174" width="12.7109375" customWidth="1"/>
    <col min="5175" max="5175" width="10.7109375" bestFit="1" customWidth="1"/>
    <col min="5368" max="5368" width="8.42578125" customWidth="1"/>
    <col min="5369" max="5369" width="15.42578125" customWidth="1"/>
    <col min="5370" max="5370" width="11.5703125" customWidth="1"/>
    <col min="5372" max="5372" width="25.7109375" customWidth="1"/>
    <col min="5373" max="5373" width="11.28515625" customWidth="1"/>
    <col min="5374" max="5374" width="12" customWidth="1"/>
    <col min="5375" max="5375" width="14.140625" customWidth="1"/>
    <col min="5377" max="5377" width="13" customWidth="1"/>
    <col min="5379" max="5379" width="13.5703125" customWidth="1"/>
    <col min="5380" max="5380" width="19.42578125" customWidth="1"/>
    <col min="5381" max="5381" width="6.5703125" customWidth="1"/>
    <col min="5382" max="5382" width="16.28515625" customWidth="1"/>
    <col min="5383" max="5383" width="12.140625" customWidth="1"/>
    <col min="5384" max="5384" width="8.7109375" customWidth="1"/>
    <col min="5385" max="5387" width="12.140625" customWidth="1"/>
    <col min="5389" max="5389" width="10.42578125" customWidth="1"/>
    <col min="5390" max="5390" width="13.5703125" customWidth="1"/>
    <col min="5402" max="5402" width="6.5703125" customWidth="1"/>
    <col min="5403" max="5403" width="11.140625" customWidth="1"/>
    <col min="5404" max="5404" width="12.7109375" customWidth="1"/>
    <col min="5405" max="5405" width="10.7109375" customWidth="1"/>
    <col min="5410" max="5410" width="6.5703125" customWidth="1"/>
    <col min="5414" max="5414" width="0.5703125" customWidth="1"/>
    <col min="5415" max="5415" width="15.28515625" customWidth="1"/>
    <col min="5416" max="5416" width="12.7109375" customWidth="1"/>
    <col min="5417" max="5417" width="12.85546875" customWidth="1"/>
    <col min="5418" max="5418" width="12.28515625" customWidth="1"/>
    <col min="5419" max="5419" width="11.7109375" customWidth="1"/>
    <col min="5420" max="5420" width="11.85546875" customWidth="1"/>
    <col min="5427" max="5427" width="5.42578125" customWidth="1"/>
    <col min="5429" max="5429" width="12.85546875" customWidth="1"/>
    <col min="5430" max="5430" width="12.7109375" customWidth="1"/>
    <col min="5431" max="5431" width="10.7109375" bestFit="1" customWidth="1"/>
    <col min="5624" max="5624" width="8.42578125" customWidth="1"/>
    <col min="5625" max="5625" width="15.42578125" customWidth="1"/>
    <col min="5626" max="5626" width="11.5703125" customWidth="1"/>
    <col min="5628" max="5628" width="25.7109375" customWidth="1"/>
    <col min="5629" max="5629" width="11.28515625" customWidth="1"/>
    <col min="5630" max="5630" width="12" customWidth="1"/>
    <col min="5631" max="5631" width="14.140625" customWidth="1"/>
    <col min="5633" max="5633" width="13" customWidth="1"/>
    <col min="5635" max="5635" width="13.5703125" customWidth="1"/>
    <col min="5636" max="5636" width="19.42578125" customWidth="1"/>
    <col min="5637" max="5637" width="6.5703125" customWidth="1"/>
    <col min="5638" max="5638" width="16.28515625" customWidth="1"/>
    <col min="5639" max="5639" width="12.140625" customWidth="1"/>
    <col min="5640" max="5640" width="8.7109375" customWidth="1"/>
    <col min="5641" max="5643" width="12.140625" customWidth="1"/>
    <col min="5645" max="5645" width="10.42578125" customWidth="1"/>
    <col min="5646" max="5646" width="13.5703125" customWidth="1"/>
    <col min="5658" max="5658" width="6.5703125" customWidth="1"/>
    <col min="5659" max="5659" width="11.140625" customWidth="1"/>
    <col min="5660" max="5660" width="12.7109375" customWidth="1"/>
    <col min="5661" max="5661" width="10.7109375" customWidth="1"/>
    <col min="5666" max="5666" width="6.5703125" customWidth="1"/>
    <col min="5670" max="5670" width="0.5703125" customWidth="1"/>
    <col min="5671" max="5671" width="15.28515625" customWidth="1"/>
    <col min="5672" max="5672" width="12.7109375" customWidth="1"/>
    <col min="5673" max="5673" width="12.85546875" customWidth="1"/>
    <col min="5674" max="5674" width="12.28515625" customWidth="1"/>
    <col min="5675" max="5675" width="11.7109375" customWidth="1"/>
    <col min="5676" max="5676" width="11.85546875" customWidth="1"/>
    <col min="5683" max="5683" width="5.42578125" customWidth="1"/>
    <col min="5685" max="5685" width="12.85546875" customWidth="1"/>
    <col min="5686" max="5686" width="12.7109375" customWidth="1"/>
    <col min="5687" max="5687" width="10.7109375" bestFit="1" customWidth="1"/>
    <col min="5880" max="5880" width="8.42578125" customWidth="1"/>
    <col min="5881" max="5881" width="15.42578125" customWidth="1"/>
    <col min="5882" max="5882" width="11.5703125" customWidth="1"/>
    <col min="5884" max="5884" width="25.7109375" customWidth="1"/>
    <col min="5885" max="5885" width="11.28515625" customWidth="1"/>
    <col min="5886" max="5886" width="12" customWidth="1"/>
    <col min="5887" max="5887" width="14.140625" customWidth="1"/>
    <col min="5889" max="5889" width="13" customWidth="1"/>
    <col min="5891" max="5891" width="13.5703125" customWidth="1"/>
    <col min="5892" max="5892" width="19.42578125" customWidth="1"/>
    <col min="5893" max="5893" width="6.5703125" customWidth="1"/>
    <col min="5894" max="5894" width="16.28515625" customWidth="1"/>
    <col min="5895" max="5895" width="12.140625" customWidth="1"/>
    <col min="5896" max="5896" width="8.7109375" customWidth="1"/>
    <col min="5897" max="5899" width="12.140625" customWidth="1"/>
    <col min="5901" max="5901" width="10.42578125" customWidth="1"/>
    <col min="5902" max="5902" width="13.5703125" customWidth="1"/>
    <col min="5914" max="5914" width="6.5703125" customWidth="1"/>
    <col min="5915" max="5915" width="11.140625" customWidth="1"/>
    <col min="5916" max="5916" width="12.7109375" customWidth="1"/>
    <col min="5917" max="5917" width="10.7109375" customWidth="1"/>
    <col min="5922" max="5922" width="6.5703125" customWidth="1"/>
    <col min="5926" max="5926" width="0.5703125" customWidth="1"/>
    <col min="5927" max="5927" width="15.28515625" customWidth="1"/>
    <col min="5928" max="5928" width="12.7109375" customWidth="1"/>
    <col min="5929" max="5929" width="12.85546875" customWidth="1"/>
    <col min="5930" max="5930" width="12.28515625" customWidth="1"/>
    <col min="5931" max="5931" width="11.7109375" customWidth="1"/>
    <col min="5932" max="5932" width="11.85546875" customWidth="1"/>
    <col min="5939" max="5939" width="5.42578125" customWidth="1"/>
    <col min="5941" max="5941" width="12.85546875" customWidth="1"/>
    <col min="5942" max="5942" width="12.7109375" customWidth="1"/>
    <col min="5943" max="5943" width="10.7109375" bestFit="1" customWidth="1"/>
    <col min="6136" max="6136" width="8.42578125" customWidth="1"/>
    <col min="6137" max="6137" width="15.42578125" customWidth="1"/>
    <col min="6138" max="6138" width="11.5703125" customWidth="1"/>
    <col min="6140" max="6140" width="25.7109375" customWidth="1"/>
    <col min="6141" max="6141" width="11.28515625" customWidth="1"/>
    <col min="6142" max="6142" width="12" customWidth="1"/>
    <col min="6143" max="6143" width="14.140625" customWidth="1"/>
    <col min="6145" max="6145" width="13" customWidth="1"/>
    <col min="6147" max="6147" width="13.5703125" customWidth="1"/>
    <col min="6148" max="6148" width="19.42578125" customWidth="1"/>
    <col min="6149" max="6149" width="6.5703125" customWidth="1"/>
    <col min="6150" max="6150" width="16.28515625" customWidth="1"/>
    <col min="6151" max="6151" width="12.140625" customWidth="1"/>
    <col min="6152" max="6152" width="8.7109375" customWidth="1"/>
    <col min="6153" max="6155" width="12.140625" customWidth="1"/>
    <col min="6157" max="6157" width="10.42578125" customWidth="1"/>
    <col min="6158" max="6158" width="13.5703125" customWidth="1"/>
    <col min="6170" max="6170" width="6.5703125" customWidth="1"/>
    <col min="6171" max="6171" width="11.140625" customWidth="1"/>
    <col min="6172" max="6172" width="12.7109375" customWidth="1"/>
    <col min="6173" max="6173" width="10.7109375" customWidth="1"/>
    <col min="6178" max="6178" width="6.5703125" customWidth="1"/>
    <col min="6182" max="6182" width="0.5703125" customWidth="1"/>
    <col min="6183" max="6183" width="15.28515625" customWidth="1"/>
    <col min="6184" max="6184" width="12.7109375" customWidth="1"/>
    <col min="6185" max="6185" width="12.85546875" customWidth="1"/>
    <col min="6186" max="6186" width="12.28515625" customWidth="1"/>
    <col min="6187" max="6187" width="11.7109375" customWidth="1"/>
    <col min="6188" max="6188" width="11.85546875" customWidth="1"/>
    <col min="6195" max="6195" width="5.42578125" customWidth="1"/>
    <col min="6197" max="6197" width="12.85546875" customWidth="1"/>
    <col min="6198" max="6198" width="12.7109375" customWidth="1"/>
    <col min="6199" max="6199" width="10.7109375" bestFit="1" customWidth="1"/>
    <col min="6392" max="6392" width="8.42578125" customWidth="1"/>
    <col min="6393" max="6393" width="15.42578125" customWidth="1"/>
    <col min="6394" max="6394" width="11.5703125" customWidth="1"/>
    <col min="6396" max="6396" width="25.7109375" customWidth="1"/>
    <col min="6397" max="6397" width="11.28515625" customWidth="1"/>
    <col min="6398" max="6398" width="12" customWidth="1"/>
    <col min="6399" max="6399" width="14.140625" customWidth="1"/>
    <col min="6401" max="6401" width="13" customWidth="1"/>
    <col min="6403" max="6403" width="13.5703125" customWidth="1"/>
    <col min="6404" max="6404" width="19.42578125" customWidth="1"/>
    <col min="6405" max="6405" width="6.5703125" customWidth="1"/>
    <col min="6406" max="6406" width="16.28515625" customWidth="1"/>
    <col min="6407" max="6407" width="12.140625" customWidth="1"/>
    <col min="6408" max="6408" width="8.7109375" customWidth="1"/>
    <col min="6409" max="6411" width="12.140625" customWidth="1"/>
    <col min="6413" max="6413" width="10.42578125" customWidth="1"/>
    <col min="6414" max="6414" width="13.5703125" customWidth="1"/>
    <col min="6426" max="6426" width="6.5703125" customWidth="1"/>
    <col min="6427" max="6427" width="11.140625" customWidth="1"/>
    <col min="6428" max="6428" width="12.7109375" customWidth="1"/>
    <col min="6429" max="6429" width="10.7109375" customWidth="1"/>
    <col min="6434" max="6434" width="6.5703125" customWidth="1"/>
    <col min="6438" max="6438" width="0.5703125" customWidth="1"/>
    <col min="6439" max="6439" width="15.28515625" customWidth="1"/>
    <col min="6440" max="6440" width="12.7109375" customWidth="1"/>
    <col min="6441" max="6441" width="12.85546875" customWidth="1"/>
    <col min="6442" max="6442" width="12.28515625" customWidth="1"/>
    <col min="6443" max="6443" width="11.7109375" customWidth="1"/>
    <col min="6444" max="6444" width="11.85546875" customWidth="1"/>
    <col min="6451" max="6451" width="5.42578125" customWidth="1"/>
    <col min="6453" max="6453" width="12.85546875" customWidth="1"/>
    <col min="6454" max="6454" width="12.7109375" customWidth="1"/>
    <col min="6455" max="6455" width="10.7109375" bestFit="1" customWidth="1"/>
    <col min="6648" max="6648" width="8.42578125" customWidth="1"/>
    <col min="6649" max="6649" width="15.42578125" customWidth="1"/>
    <col min="6650" max="6650" width="11.5703125" customWidth="1"/>
    <col min="6652" max="6652" width="25.7109375" customWidth="1"/>
    <col min="6653" max="6653" width="11.28515625" customWidth="1"/>
    <col min="6654" max="6654" width="12" customWidth="1"/>
    <col min="6655" max="6655" width="14.140625" customWidth="1"/>
    <col min="6657" max="6657" width="13" customWidth="1"/>
    <col min="6659" max="6659" width="13.5703125" customWidth="1"/>
    <col min="6660" max="6660" width="19.42578125" customWidth="1"/>
    <col min="6661" max="6661" width="6.5703125" customWidth="1"/>
    <col min="6662" max="6662" width="16.28515625" customWidth="1"/>
    <col min="6663" max="6663" width="12.140625" customWidth="1"/>
    <col min="6664" max="6664" width="8.7109375" customWidth="1"/>
    <col min="6665" max="6667" width="12.140625" customWidth="1"/>
    <col min="6669" max="6669" width="10.42578125" customWidth="1"/>
    <col min="6670" max="6670" width="13.5703125" customWidth="1"/>
    <col min="6682" max="6682" width="6.5703125" customWidth="1"/>
    <col min="6683" max="6683" width="11.140625" customWidth="1"/>
    <col min="6684" max="6684" width="12.7109375" customWidth="1"/>
    <col min="6685" max="6685" width="10.7109375" customWidth="1"/>
    <col min="6690" max="6690" width="6.5703125" customWidth="1"/>
    <col min="6694" max="6694" width="0.5703125" customWidth="1"/>
    <col min="6695" max="6695" width="15.28515625" customWidth="1"/>
    <col min="6696" max="6696" width="12.7109375" customWidth="1"/>
    <col min="6697" max="6697" width="12.85546875" customWidth="1"/>
    <col min="6698" max="6698" width="12.28515625" customWidth="1"/>
    <col min="6699" max="6699" width="11.7109375" customWidth="1"/>
    <col min="6700" max="6700" width="11.85546875" customWidth="1"/>
    <col min="6707" max="6707" width="5.42578125" customWidth="1"/>
    <col min="6709" max="6709" width="12.85546875" customWidth="1"/>
    <col min="6710" max="6710" width="12.7109375" customWidth="1"/>
    <col min="6711" max="6711" width="10.7109375" bestFit="1" customWidth="1"/>
    <col min="6904" max="6904" width="8.42578125" customWidth="1"/>
    <col min="6905" max="6905" width="15.42578125" customWidth="1"/>
    <col min="6906" max="6906" width="11.5703125" customWidth="1"/>
    <col min="6908" max="6908" width="25.7109375" customWidth="1"/>
    <col min="6909" max="6909" width="11.28515625" customWidth="1"/>
    <col min="6910" max="6910" width="12" customWidth="1"/>
    <col min="6911" max="6911" width="14.140625" customWidth="1"/>
    <col min="6913" max="6913" width="13" customWidth="1"/>
    <col min="6915" max="6915" width="13.5703125" customWidth="1"/>
    <col min="6916" max="6916" width="19.42578125" customWidth="1"/>
    <col min="6917" max="6917" width="6.5703125" customWidth="1"/>
    <col min="6918" max="6918" width="16.28515625" customWidth="1"/>
    <col min="6919" max="6919" width="12.140625" customWidth="1"/>
    <col min="6920" max="6920" width="8.7109375" customWidth="1"/>
    <col min="6921" max="6923" width="12.140625" customWidth="1"/>
    <col min="6925" max="6925" width="10.42578125" customWidth="1"/>
    <col min="6926" max="6926" width="13.5703125" customWidth="1"/>
    <col min="6938" max="6938" width="6.5703125" customWidth="1"/>
    <col min="6939" max="6939" width="11.140625" customWidth="1"/>
    <col min="6940" max="6940" width="12.7109375" customWidth="1"/>
    <col min="6941" max="6941" width="10.7109375" customWidth="1"/>
    <col min="6946" max="6946" width="6.5703125" customWidth="1"/>
    <col min="6950" max="6950" width="0.5703125" customWidth="1"/>
    <col min="6951" max="6951" width="15.28515625" customWidth="1"/>
    <col min="6952" max="6952" width="12.7109375" customWidth="1"/>
    <col min="6953" max="6953" width="12.85546875" customWidth="1"/>
    <col min="6954" max="6954" width="12.28515625" customWidth="1"/>
    <col min="6955" max="6955" width="11.7109375" customWidth="1"/>
    <col min="6956" max="6956" width="11.85546875" customWidth="1"/>
    <col min="6963" max="6963" width="5.42578125" customWidth="1"/>
    <col min="6965" max="6965" width="12.85546875" customWidth="1"/>
    <col min="6966" max="6966" width="12.7109375" customWidth="1"/>
    <col min="6967" max="6967" width="10.7109375" bestFit="1" customWidth="1"/>
    <col min="7160" max="7160" width="8.42578125" customWidth="1"/>
    <col min="7161" max="7161" width="15.42578125" customWidth="1"/>
    <col min="7162" max="7162" width="11.5703125" customWidth="1"/>
    <col min="7164" max="7164" width="25.7109375" customWidth="1"/>
    <col min="7165" max="7165" width="11.28515625" customWidth="1"/>
    <col min="7166" max="7166" width="12" customWidth="1"/>
    <col min="7167" max="7167" width="14.140625" customWidth="1"/>
    <col min="7169" max="7169" width="13" customWidth="1"/>
    <col min="7171" max="7171" width="13.5703125" customWidth="1"/>
    <col min="7172" max="7172" width="19.42578125" customWidth="1"/>
    <col min="7173" max="7173" width="6.5703125" customWidth="1"/>
    <col min="7174" max="7174" width="16.28515625" customWidth="1"/>
    <col min="7175" max="7175" width="12.140625" customWidth="1"/>
    <col min="7176" max="7176" width="8.7109375" customWidth="1"/>
    <col min="7177" max="7179" width="12.140625" customWidth="1"/>
    <col min="7181" max="7181" width="10.42578125" customWidth="1"/>
    <col min="7182" max="7182" width="13.5703125" customWidth="1"/>
    <col min="7194" max="7194" width="6.5703125" customWidth="1"/>
    <col min="7195" max="7195" width="11.140625" customWidth="1"/>
    <col min="7196" max="7196" width="12.7109375" customWidth="1"/>
    <col min="7197" max="7197" width="10.7109375" customWidth="1"/>
    <col min="7202" max="7202" width="6.5703125" customWidth="1"/>
    <col min="7206" max="7206" width="0.5703125" customWidth="1"/>
    <col min="7207" max="7207" width="15.28515625" customWidth="1"/>
    <col min="7208" max="7208" width="12.7109375" customWidth="1"/>
    <col min="7209" max="7209" width="12.85546875" customWidth="1"/>
    <col min="7210" max="7210" width="12.28515625" customWidth="1"/>
    <col min="7211" max="7211" width="11.7109375" customWidth="1"/>
    <col min="7212" max="7212" width="11.85546875" customWidth="1"/>
    <col min="7219" max="7219" width="5.42578125" customWidth="1"/>
    <col min="7221" max="7221" width="12.85546875" customWidth="1"/>
    <col min="7222" max="7222" width="12.7109375" customWidth="1"/>
    <col min="7223" max="7223" width="10.7109375" bestFit="1" customWidth="1"/>
    <col min="7416" max="7416" width="8.42578125" customWidth="1"/>
    <col min="7417" max="7417" width="15.42578125" customWidth="1"/>
    <col min="7418" max="7418" width="11.5703125" customWidth="1"/>
    <col min="7420" max="7420" width="25.7109375" customWidth="1"/>
    <col min="7421" max="7421" width="11.28515625" customWidth="1"/>
    <col min="7422" max="7422" width="12" customWidth="1"/>
    <col min="7423" max="7423" width="14.140625" customWidth="1"/>
    <col min="7425" max="7425" width="13" customWidth="1"/>
    <col min="7427" max="7427" width="13.5703125" customWidth="1"/>
    <col min="7428" max="7428" width="19.42578125" customWidth="1"/>
    <col min="7429" max="7429" width="6.5703125" customWidth="1"/>
    <col min="7430" max="7430" width="16.28515625" customWidth="1"/>
    <col min="7431" max="7431" width="12.140625" customWidth="1"/>
    <col min="7432" max="7432" width="8.7109375" customWidth="1"/>
    <col min="7433" max="7435" width="12.140625" customWidth="1"/>
    <col min="7437" max="7437" width="10.42578125" customWidth="1"/>
    <col min="7438" max="7438" width="13.5703125" customWidth="1"/>
    <col min="7450" max="7450" width="6.5703125" customWidth="1"/>
    <col min="7451" max="7451" width="11.140625" customWidth="1"/>
    <col min="7452" max="7452" width="12.7109375" customWidth="1"/>
    <col min="7453" max="7453" width="10.7109375" customWidth="1"/>
    <col min="7458" max="7458" width="6.5703125" customWidth="1"/>
    <col min="7462" max="7462" width="0.5703125" customWidth="1"/>
    <col min="7463" max="7463" width="15.28515625" customWidth="1"/>
    <col min="7464" max="7464" width="12.7109375" customWidth="1"/>
    <col min="7465" max="7465" width="12.85546875" customWidth="1"/>
    <col min="7466" max="7466" width="12.28515625" customWidth="1"/>
    <col min="7467" max="7467" width="11.7109375" customWidth="1"/>
    <col min="7468" max="7468" width="11.85546875" customWidth="1"/>
    <col min="7475" max="7475" width="5.42578125" customWidth="1"/>
    <col min="7477" max="7477" width="12.85546875" customWidth="1"/>
    <col min="7478" max="7478" width="12.7109375" customWidth="1"/>
    <col min="7479" max="7479" width="10.7109375" bestFit="1" customWidth="1"/>
    <col min="7672" max="7672" width="8.42578125" customWidth="1"/>
    <col min="7673" max="7673" width="15.42578125" customWidth="1"/>
    <col min="7674" max="7674" width="11.5703125" customWidth="1"/>
    <col min="7676" max="7676" width="25.7109375" customWidth="1"/>
    <col min="7677" max="7677" width="11.28515625" customWidth="1"/>
    <col min="7678" max="7678" width="12" customWidth="1"/>
    <col min="7679" max="7679" width="14.140625" customWidth="1"/>
    <col min="7681" max="7681" width="13" customWidth="1"/>
    <col min="7683" max="7683" width="13.5703125" customWidth="1"/>
    <col min="7684" max="7684" width="19.42578125" customWidth="1"/>
    <col min="7685" max="7685" width="6.5703125" customWidth="1"/>
    <col min="7686" max="7686" width="16.28515625" customWidth="1"/>
    <col min="7687" max="7687" width="12.140625" customWidth="1"/>
    <col min="7688" max="7688" width="8.7109375" customWidth="1"/>
    <col min="7689" max="7691" width="12.140625" customWidth="1"/>
    <col min="7693" max="7693" width="10.42578125" customWidth="1"/>
    <col min="7694" max="7694" width="13.5703125" customWidth="1"/>
    <col min="7706" max="7706" width="6.5703125" customWidth="1"/>
    <col min="7707" max="7707" width="11.140625" customWidth="1"/>
    <col min="7708" max="7708" width="12.7109375" customWidth="1"/>
    <col min="7709" max="7709" width="10.7109375" customWidth="1"/>
    <col min="7714" max="7714" width="6.5703125" customWidth="1"/>
    <col min="7718" max="7718" width="0.5703125" customWidth="1"/>
    <col min="7719" max="7719" width="15.28515625" customWidth="1"/>
    <col min="7720" max="7720" width="12.7109375" customWidth="1"/>
    <col min="7721" max="7721" width="12.85546875" customWidth="1"/>
    <col min="7722" max="7722" width="12.28515625" customWidth="1"/>
    <col min="7723" max="7723" width="11.7109375" customWidth="1"/>
    <col min="7724" max="7724" width="11.85546875" customWidth="1"/>
    <col min="7731" max="7731" width="5.42578125" customWidth="1"/>
    <col min="7733" max="7733" width="12.85546875" customWidth="1"/>
    <col min="7734" max="7734" width="12.7109375" customWidth="1"/>
    <col min="7735" max="7735" width="10.7109375" bestFit="1" customWidth="1"/>
    <col min="7928" max="7928" width="8.42578125" customWidth="1"/>
    <col min="7929" max="7929" width="15.42578125" customWidth="1"/>
    <col min="7930" max="7930" width="11.5703125" customWidth="1"/>
    <col min="7932" max="7932" width="25.7109375" customWidth="1"/>
    <col min="7933" max="7933" width="11.28515625" customWidth="1"/>
    <col min="7934" max="7934" width="12" customWidth="1"/>
    <col min="7935" max="7935" width="14.140625" customWidth="1"/>
    <col min="7937" max="7937" width="13" customWidth="1"/>
    <col min="7939" max="7939" width="13.5703125" customWidth="1"/>
    <col min="7940" max="7940" width="19.42578125" customWidth="1"/>
    <col min="7941" max="7941" width="6.5703125" customWidth="1"/>
    <col min="7942" max="7942" width="16.28515625" customWidth="1"/>
    <col min="7943" max="7943" width="12.140625" customWidth="1"/>
    <col min="7944" max="7944" width="8.7109375" customWidth="1"/>
    <col min="7945" max="7947" width="12.140625" customWidth="1"/>
    <col min="7949" max="7949" width="10.42578125" customWidth="1"/>
    <col min="7950" max="7950" width="13.5703125" customWidth="1"/>
    <col min="7962" max="7962" width="6.5703125" customWidth="1"/>
    <col min="7963" max="7963" width="11.140625" customWidth="1"/>
    <col min="7964" max="7964" width="12.7109375" customWidth="1"/>
    <col min="7965" max="7965" width="10.7109375" customWidth="1"/>
    <col min="7970" max="7970" width="6.5703125" customWidth="1"/>
    <col min="7974" max="7974" width="0.5703125" customWidth="1"/>
    <col min="7975" max="7975" width="15.28515625" customWidth="1"/>
    <col min="7976" max="7976" width="12.7109375" customWidth="1"/>
    <col min="7977" max="7977" width="12.85546875" customWidth="1"/>
    <col min="7978" max="7978" width="12.28515625" customWidth="1"/>
    <col min="7979" max="7979" width="11.7109375" customWidth="1"/>
    <col min="7980" max="7980" width="11.85546875" customWidth="1"/>
    <col min="7987" max="7987" width="5.42578125" customWidth="1"/>
    <col min="7989" max="7989" width="12.85546875" customWidth="1"/>
    <col min="7990" max="7990" width="12.7109375" customWidth="1"/>
    <col min="7991" max="7991" width="10.7109375" bestFit="1" customWidth="1"/>
    <col min="8184" max="8184" width="8.42578125" customWidth="1"/>
    <col min="8185" max="8185" width="15.42578125" customWidth="1"/>
    <col min="8186" max="8186" width="11.5703125" customWidth="1"/>
    <col min="8188" max="8188" width="25.7109375" customWidth="1"/>
    <col min="8189" max="8189" width="11.28515625" customWidth="1"/>
    <col min="8190" max="8190" width="12" customWidth="1"/>
    <col min="8191" max="8191" width="14.140625" customWidth="1"/>
    <col min="8193" max="8193" width="13" customWidth="1"/>
    <col min="8195" max="8195" width="13.5703125" customWidth="1"/>
    <col min="8196" max="8196" width="19.42578125" customWidth="1"/>
    <col min="8197" max="8197" width="6.5703125" customWidth="1"/>
    <col min="8198" max="8198" width="16.28515625" customWidth="1"/>
    <col min="8199" max="8199" width="12.140625" customWidth="1"/>
    <col min="8200" max="8200" width="8.7109375" customWidth="1"/>
    <col min="8201" max="8203" width="12.140625" customWidth="1"/>
    <col min="8205" max="8205" width="10.42578125" customWidth="1"/>
    <col min="8206" max="8206" width="13.5703125" customWidth="1"/>
    <col min="8218" max="8218" width="6.5703125" customWidth="1"/>
    <col min="8219" max="8219" width="11.140625" customWidth="1"/>
    <col min="8220" max="8220" width="12.7109375" customWidth="1"/>
    <col min="8221" max="8221" width="10.7109375" customWidth="1"/>
    <col min="8226" max="8226" width="6.5703125" customWidth="1"/>
    <col min="8230" max="8230" width="0.5703125" customWidth="1"/>
    <col min="8231" max="8231" width="15.28515625" customWidth="1"/>
    <col min="8232" max="8232" width="12.7109375" customWidth="1"/>
    <col min="8233" max="8233" width="12.85546875" customWidth="1"/>
    <col min="8234" max="8234" width="12.28515625" customWidth="1"/>
    <col min="8235" max="8235" width="11.7109375" customWidth="1"/>
    <col min="8236" max="8236" width="11.85546875" customWidth="1"/>
    <col min="8243" max="8243" width="5.42578125" customWidth="1"/>
    <col min="8245" max="8245" width="12.85546875" customWidth="1"/>
    <col min="8246" max="8246" width="12.7109375" customWidth="1"/>
    <col min="8247" max="8247" width="10.7109375" bestFit="1" customWidth="1"/>
    <col min="8440" max="8440" width="8.42578125" customWidth="1"/>
    <col min="8441" max="8441" width="15.42578125" customWidth="1"/>
    <col min="8442" max="8442" width="11.5703125" customWidth="1"/>
    <col min="8444" max="8444" width="25.7109375" customWidth="1"/>
    <col min="8445" max="8445" width="11.28515625" customWidth="1"/>
    <col min="8446" max="8446" width="12" customWidth="1"/>
    <col min="8447" max="8447" width="14.140625" customWidth="1"/>
    <col min="8449" max="8449" width="13" customWidth="1"/>
    <col min="8451" max="8451" width="13.5703125" customWidth="1"/>
    <col min="8452" max="8452" width="19.42578125" customWidth="1"/>
    <col min="8453" max="8453" width="6.5703125" customWidth="1"/>
    <col min="8454" max="8454" width="16.28515625" customWidth="1"/>
    <col min="8455" max="8455" width="12.140625" customWidth="1"/>
    <col min="8456" max="8456" width="8.7109375" customWidth="1"/>
    <col min="8457" max="8459" width="12.140625" customWidth="1"/>
    <col min="8461" max="8461" width="10.42578125" customWidth="1"/>
    <col min="8462" max="8462" width="13.5703125" customWidth="1"/>
    <col min="8474" max="8474" width="6.5703125" customWidth="1"/>
    <col min="8475" max="8475" width="11.140625" customWidth="1"/>
    <col min="8476" max="8476" width="12.7109375" customWidth="1"/>
    <col min="8477" max="8477" width="10.7109375" customWidth="1"/>
    <col min="8482" max="8482" width="6.5703125" customWidth="1"/>
    <col min="8486" max="8486" width="0.5703125" customWidth="1"/>
    <col min="8487" max="8487" width="15.28515625" customWidth="1"/>
    <col min="8488" max="8488" width="12.7109375" customWidth="1"/>
    <col min="8489" max="8489" width="12.85546875" customWidth="1"/>
    <col min="8490" max="8490" width="12.28515625" customWidth="1"/>
    <col min="8491" max="8491" width="11.7109375" customWidth="1"/>
    <col min="8492" max="8492" width="11.85546875" customWidth="1"/>
    <col min="8499" max="8499" width="5.42578125" customWidth="1"/>
    <col min="8501" max="8501" width="12.85546875" customWidth="1"/>
    <col min="8502" max="8502" width="12.7109375" customWidth="1"/>
    <col min="8503" max="8503" width="10.7109375" bestFit="1" customWidth="1"/>
    <col min="8696" max="8696" width="8.42578125" customWidth="1"/>
    <col min="8697" max="8697" width="15.42578125" customWidth="1"/>
    <col min="8698" max="8698" width="11.5703125" customWidth="1"/>
    <col min="8700" max="8700" width="25.7109375" customWidth="1"/>
    <col min="8701" max="8701" width="11.28515625" customWidth="1"/>
    <col min="8702" max="8702" width="12" customWidth="1"/>
    <col min="8703" max="8703" width="14.140625" customWidth="1"/>
    <col min="8705" max="8705" width="13" customWidth="1"/>
    <col min="8707" max="8707" width="13.5703125" customWidth="1"/>
    <col min="8708" max="8708" width="19.42578125" customWidth="1"/>
    <col min="8709" max="8709" width="6.5703125" customWidth="1"/>
    <col min="8710" max="8710" width="16.28515625" customWidth="1"/>
    <col min="8711" max="8711" width="12.140625" customWidth="1"/>
    <col min="8712" max="8712" width="8.7109375" customWidth="1"/>
    <col min="8713" max="8715" width="12.140625" customWidth="1"/>
    <col min="8717" max="8717" width="10.42578125" customWidth="1"/>
    <col min="8718" max="8718" width="13.5703125" customWidth="1"/>
    <col min="8730" max="8730" width="6.5703125" customWidth="1"/>
    <col min="8731" max="8731" width="11.140625" customWidth="1"/>
    <col min="8732" max="8732" width="12.7109375" customWidth="1"/>
    <col min="8733" max="8733" width="10.7109375" customWidth="1"/>
    <col min="8738" max="8738" width="6.5703125" customWidth="1"/>
    <col min="8742" max="8742" width="0.5703125" customWidth="1"/>
    <col min="8743" max="8743" width="15.28515625" customWidth="1"/>
    <col min="8744" max="8744" width="12.7109375" customWidth="1"/>
    <col min="8745" max="8745" width="12.85546875" customWidth="1"/>
    <col min="8746" max="8746" width="12.28515625" customWidth="1"/>
    <col min="8747" max="8747" width="11.7109375" customWidth="1"/>
    <col min="8748" max="8748" width="11.85546875" customWidth="1"/>
    <col min="8755" max="8755" width="5.42578125" customWidth="1"/>
    <col min="8757" max="8757" width="12.85546875" customWidth="1"/>
    <col min="8758" max="8758" width="12.7109375" customWidth="1"/>
    <col min="8759" max="8759" width="10.7109375" bestFit="1" customWidth="1"/>
    <col min="8952" max="8952" width="8.42578125" customWidth="1"/>
    <col min="8953" max="8953" width="15.42578125" customWidth="1"/>
    <col min="8954" max="8954" width="11.5703125" customWidth="1"/>
    <col min="8956" max="8956" width="25.7109375" customWidth="1"/>
    <col min="8957" max="8957" width="11.28515625" customWidth="1"/>
    <col min="8958" max="8958" width="12" customWidth="1"/>
    <col min="8959" max="8959" width="14.140625" customWidth="1"/>
    <col min="8961" max="8961" width="13" customWidth="1"/>
    <col min="8963" max="8963" width="13.5703125" customWidth="1"/>
    <col min="8964" max="8964" width="19.42578125" customWidth="1"/>
    <col min="8965" max="8965" width="6.5703125" customWidth="1"/>
    <col min="8966" max="8966" width="16.28515625" customWidth="1"/>
    <col min="8967" max="8967" width="12.140625" customWidth="1"/>
    <col min="8968" max="8968" width="8.7109375" customWidth="1"/>
    <col min="8969" max="8971" width="12.140625" customWidth="1"/>
    <col min="8973" max="8973" width="10.42578125" customWidth="1"/>
    <col min="8974" max="8974" width="13.5703125" customWidth="1"/>
    <col min="8986" max="8986" width="6.5703125" customWidth="1"/>
    <col min="8987" max="8987" width="11.140625" customWidth="1"/>
    <col min="8988" max="8988" width="12.7109375" customWidth="1"/>
    <col min="8989" max="8989" width="10.7109375" customWidth="1"/>
    <col min="8994" max="8994" width="6.5703125" customWidth="1"/>
    <col min="8998" max="8998" width="0.5703125" customWidth="1"/>
    <col min="8999" max="8999" width="15.28515625" customWidth="1"/>
    <col min="9000" max="9000" width="12.7109375" customWidth="1"/>
    <col min="9001" max="9001" width="12.85546875" customWidth="1"/>
    <col min="9002" max="9002" width="12.28515625" customWidth="1"/>
    <col min="9003" max="9003" width="11.7109375" customWidth="1"/>
    <col min="9004" max="9004" width="11.85546875" customWidth="1"/>
    <col min="9011" max="9011" width="5.42578125" customWidth="1"/>
    <col min="9013" max="9013" width="12.85546875" customWidth="1"/>
    <col min="9014" max="9014" width="12.7109375" customWidth="1"/>
    <col min="9015" max="9015" width="10.7109375" bestFit="1" customWidth="1"/>
    <col min="9208" max="9208" width="8.42578125" customWidth="1"/>
    <col min="9209" max="9209" width="15.42578125" customWidth="1"/>
    <col min="9210" max="9210" width="11.5703125" customWidth="1"/>
    <col min="9212" max="9212" width="25.7109375" customWidth="1"/>
    <col min="9213" max="9213" width="11.28515625" customWidth="1"/>
    <col min="9214" max="9214" width="12" customWidth="1"/>
    <col min="9215" max="9215" width="14.140625" customWidth="1"/>
    <col min="9217" max="9217" width="13" customWidth="1"/>
    <col min="9219" max="9219" width="13.5703125" customWidth="1"/>
    <col min="9220" max="9220" width="19.42578125" customWidth="1"/>
    <col min="9221" max="9221" width="6.5703125" customWidth="1"/>
    <col min="9222" max="9222" width="16.28515625" customWidth="1"/>
    <col min="9223" max="9223" width="12.140625" customWidth="1"/>
    <col min="9224" max="9224" width="8.7109375" customWidth="1"/>
    <col min="9225" max="9227" width="12.140625" customWidth="1"/>
    <col min="9229" max="9229" width="10.42578125" customWidth="1"/>
    <col min="9230" max="9230" width="13.5703125" customWidth="1"/>
    <col min="9242" max="9242" width="6.5703125" customWidth="1"/>
    <col min="9243" max="9243" width="11.140625" customWidth="1"/>
    <col min="9244" max="9244" width="12.7109375" customWidth="1"/>
    <col min="9245" max="9245" width="10.7109375" customWidth="1"/>
    <col min="9250" max="9250" width="6.5703125" customWidth="1"/>
    <col min="9254" max="9254" width="0.5703125" customWidth="1"/>
    <col min="9255" max="9255" width="15.28515625" customWidth="1"/>
    <col min="9256" max="9256" width="12.7109375" customWidth="1"/>
    <col min="9257" max="9257" width="12.85546875" customWidth="1"/>
    <col min="9258" max="9258" width="12.28515625" customWidth="1"/>
    <col min="9259" max="9259" width="11.7109375" customWidth="1"/>
    <col min="9260" max="9260" width="11.85546875" customWidth="1"/>
    <col min="9267" max="9267" width="5.42578125" customWidth="1"/>
    <col min="9269" max="9269" width="12.85546875" customWidth="1"/>
    <col min="9270" max="9270" width="12.7109375" customWidth="1"/>
    <col min="9271" max="9271" width="10.7109375" bestFit="1" customWidth="1"/>
    <col min="9464" max="9464" width="8.42578125" customWidth="1"/>
    <col min="9465" max="9465" width="15.42578125" customWidth="1"/>
    <col min="9466" max="9466" width="11.5703125" customWidth="1"/>
    <col min="9468" max="9468" width="25.7109375" customWidth="1"/>
    <col min="9469" max="9469" width="11.28515625" customWidth="1"/>
    <col min="9470" max="9470" width="12" customWidth="1"/>
    <col min="9471" max="9471" width="14.140625" customWidth="1"/>
    <col min="9473" max="9473" width="13" customWidth="1"/>
    <col min="9475" max="9475" width="13.5703125" customWidth="1"/>
    <col min="9476" max="9476" width="19.42578125" customWidth="1"/>
    <col min="9477" max="9477" width="6.5703125" customWidth="1"/>
    <col min="9478" max="9478" width="16.28515625" customWidth="1"/>
    <col min="9479" max="9479" width="12.140625" customWidth="1"/>
    <col min="9480" max="9480" width="8.7109375" customWidth="1"/>
    <col min="9481" max="9483" width="12.140625" customWidth="1"/>
    <col min="9485" max="9485" width="10.42578125" customWidth="1"/>
    <col min="9486" max="9486" width="13.5703125" customWidth="1"/>
    <col min="9498" max="9498" width="6.5703125" customWidth="1"/>
    <col min="9499" max="9499" width="11.140625" customWidth="1"/>
    <col min="9500" max="9500" width="12.7109375" customWidth="1"/>
    <col min="9501" max="9501" width="10.7109375" customWidth="1"/>
    <col min="9506" max="9506" width="6.5703125" customWidth="1"/>
    <col min="9510" max="9510" width="0.5703125" customWidth="1"/>
    <col min="9511" max="9511" width="15.28515625" customWidth="1"/>
    <col min="9512" max="9512" width="12.7109375" customWidth="1"/>
    <col min="9513" max="9513" width="12.85546875" customWidth="1"/>
    <col min="9514" max="9514" width="12.28515625" customWidth="1"/>
    <col min="9515" max="9515" width="11.7109375" customWidth="1"/>
    <col min="9516" max="9516" width="11.85546875" customWidth="1"/>
    <col min="9523" max="9523" width="5.42578125" customWidth="1"/>
    <col min="9525" max="9525" width="12.85546875" customWidth="1"/>
    <col min="9526" max="9526" width="12.7109375" customWidth="1"/>
    <col min="9527" max="9527" width="10.7109375" bestFit="1" customWidth="1"/>
    <col min="9720" max="9720" width="8.42578125" customWidth="1"/>
    <col min="9721" max="9721" width="15.42578125" customWidth="1"/>
    <col min="9722" max="9722" width="11.5703125" customWidth="1"/>
    <col min="9724" max="9724" width="25.7109375" customWidth="1"/>
    <col min="9725" max="9725" width="11.28515625" customWidth="1"/>
    <col min="9726" max="9726" width="12" customWidth="1"/>
    <col min="9727" max="9727" width="14.140625" customWidth="1"/>
    <col min="9729" max="9729" width="13" customWidth="1"/>
    <col min="9731" max="9731" width="13.5703125" customWidth="1"/>
    <col min="9732" max="9732" width="19.42578125" customWidth="1"/>
    <col min="9733" max="9733" width="6.5703125" customWidth="1"/>
    <col min="9734" max="9734" width="16.28515625" customWidth="1"/>
    <col min="9735" max="9735" width="12.140625" customWidth="1"/>
    <col min="9736" max="9736" width="8.7109375" customWidth="1"/>
    <col min="9737" max="9739" width="12.140625" customWidth="1"/>
    <col min="9741" max="9741" width="10.42578125" customWidth="1"/>
    <col min="9742" max="9742" width="13.5703125" customWidth="1"/>
    <col min="9754" max="9754" width="6.5703125" customWidth="1"/>
    <col min="9755" max="9755" width="11.140625" customWidth="1"/>
    <col min="9756" max="9756" width="12.7109375" customWidth="1"/>
    <col min="9757" max="9757" width="10.7109375" customWidth="1"/>
    <col min="9762" max="9762" width="6.5703125" customWidth="1"/>
    <col min="9766" max="9766" width="0.5703125" customWidth="1"/>
    <col min="9767" max="9767" width="15.28515625" customWidth="1"/>
    <col min="9768" max="9768" width="12.7109375" customWidth="1"/>
    <col min="9769" max="9769" width="12.85546875" customWidth="1"/>
    <col min="9770" max="9770" width="12.28515625" customWidth="1"/>
    <col min="9771" max="9771" width="11.7109375" customWidth="1"/>
    <col min="9772" max="9772" width="11.85546875" customWidth="1"/>
    <col min="9779" max="9779" width="5.42578125" customWidth="1"/>
    <col min="9781" max="9781" width="12.85546875" customWidth="1"/>
    <col min="9782" max="9782" width="12.7109375" customWidth="1"/>
    <col min="9783" max="9783" width="10.7109375" bestFit="1" customWidth="1"/>
    <col min="9976" max="9976" width="8.42578125" customWidth="1"/>
    <col min="9977" max="9977" width="15.42578125" customWidth="1"/>
    <col min="9978" max="9978" width="11.5703125" customWidth="1"/>
    <col min="9980" max="9980" width="25.7109375" customWidth="1"/>
    <col min="9981" max="9981" width="11.28515625" customWidth="1"/>
    <col min="9982" max="9982" width="12" customWidth="1"/>
    <col min="9983" max="9983" width="14.140625" customWidth="1"/>
    <col min="9985" max="9985" width="13" customWidth="1"/>
    <col min="9987" max="9987" width="13.5703125" customWidth="1"/>
    <col min="9988" max="9988" width="19.42578125" customWidth="1"/>
    <col min="9989" max="9989" width="6.5703125" customWidth="1"/>
    <col min="9990" max="9990" width="16.28515625" customWidth="1"/>
    <col min="9991" max="9991" width="12.140625" customWidth="1"/>
    <col min="9992" max="9992" width="8.7109375" customWidth="1"/>
    <col min="9993" max="9995" width="12.140625" customWidth="1"/>
    <col min="9997" max="9997" width="10.42578125" customWidth="1"/>
    <col min="9998" max="9998" width="13.5703125" customWidth="1"/>
    <col min="10010" max="10010" width="6.5703125" customWidth="1"/>
    <col min="10011" max="10011" width="11.140625" customWidth="1"/>
    <col min="10012" max="10012" width="12.7109375" customWidth="1"/>
    <col min="10013" max="10013" width="10.7109375" customWidth="1"/>
    <col min="10018" max="10018" width="6.5703125" customWidth="1"/>
    <col min="10022" max="10022" width="0.5703125" customWidth="1"/>
    <col min="10023" max="10023" width="15.28515625" customWidth="1"/>
    <col min="10024" max="10024" width="12.7109375" customWidth="1"/>
    <col min="10025" max="10025" width="12.85546875" customWidth="1"/>
    <col min="10026" max="10026" width="12.28515625" customWidth="1"/>
    <col min="10027" max="10027" width="11.7109375" customWidth="1"/>
    <col min="10028" max="10028" width="11.85546875" customWidth="1"/>
    <col min="10035" max="10035" width="5.42578125" customWidth="1"/>
    <col min="10037" max="10037" width="12.85546875" customWidth="1"/>
    <col min="10038" max="10038" width="12.7109375" customWidth="1"/>
    <col min="10039" max="10039" width="10.7109375" bestFit="1" customWidth="1"/>
    <col min="10232" max="10232" width="8.42578125" customWidth="1"/>
    <col min="10233" max="10233" width="15.42578125" customWidth="1"/>
    <col min="10234" max="10234" width="11.5703125" customWidth="1"/>
    <col min="10236" max="10236" width="25.7109375" customWidth="1"/>
    <col min="10237" max="10237" width="11.28515625" customWidth="1"/>
    <col min="10238" max="10238" width="12" customWidth="1"/>
    <col min="10239" max="10239" width="14.140625" customWidth="1"/>
    <col min="10241" max="10241" width="13" customWidth="1"/>
    <col min="10243" max="10243" width="13.5703125" customWidth="1"/>
    <col min="10244" max="10244" width="19.42578125" customWidth="1"/>
    <col min="10245" max="10245" width="6.5703125" customWidth="1"/>
    <col min="10246" max="10246" width="16.28515625" customWidth="1"/>
    <col min="10247" max="10247" width="12.140625" customWidth="1"/>
    <col min="10248" max="10248" width="8.7109375" customWidth="1"/>
    <col min="10249" max="10251" width="12.140625" customWidth="1"/>
    <col min="10253" max="10253" width="10.42578125" customWidth="1"/>
    <col min="10254" max="10254" width="13.5703125" customWidth="1"/>
    <col min="10266" max="10266" width="6.5703125" customWidth="1"/>
    <col min="10267" max="10267" width="11.140625" customWidth="1"/>
    <col min="10268" max="10268" width="12.7109375" customWidth="1"/>
    <col min="10269" max="10269" width="10.7109375" customWidth="1"/>
    <col min="10274" max="10274" width="6.5703125" customWidth="1"/>
    <col min="10278" max="10278" width="0.5703125" customWidth="1"/>
    <col min="10279" max="10279" width="15.28515625" customWidth="1"/>
    <col min="10280" max="10280" width="12.7109375" customWidth="1"/>
    <col min="10281" max="10281" width="12.85546875" customWidth="1"/>
    <col min="10282" max="10282" width="12.28515625" customWidth="1"/>
    <col min="10283" max="10283" width="11.7109375" customWidth="1"/>
    <col min="10284" max="10284" width="11.85546875" customWidth="1"/>
    <col min="10291" max="10291" width="5.42578125" customWidth="1"/>
    <col min="10293" max="10293" width="12.85546875" customWidth="1"/>
    <col min="10294" max="10294" width="12.7109375" customWidth="1"/>
    <col min="10295" max="10295" width="10.7109375" bestFit="1" customWidth="1"/>
    <col min="10488" max="10488" width="8.42578125" customWidth="1"/>
    <col min="10489" max="10489" width="15.42578125" customWidth="1"/>
    <col min="10490" max="10490" width="11.5703125" customWidth="1"/>
    <col min="10492" max="10492" width="25.7109375" customWidth="1"/>
    <col min="10493" max="10493" width="11.28515625" customWidth="1"/>
    <col min="10494" max="10494" width="12" customWidth="1"/>
    <col min="10495" max="10495" width="14.140625" customWidth="1"/>
    <col min="10497" max="10497" width="13" customWidth="1"/>
    <col min="10499" max="10499" width="13.5703125" customWidth="1"/>
    <col min="10500" max="10500" width="19.42578125" customWidth="1"/>
    <col min="10501" max="10501" width="6.5703125" customWidth="1"/>
    <col min="10502" max="10502" width="16.28515625" customWidth="1"/>
    <col min="10503" max="10503" width="12.140625" customWidth="1"/>
    <col min="10504" max="10504" width="8.7109375" customWidth="1"/>
    <col min="10505" max="10507" width="12.140625" customWidth="1"/>
    <col min="10509" max="10509" width="10.42578125" customWidth="1"/>
    <col min="10510" max="10510" width="13.5703125" customWidth="1"/>
    <col min="10522" max="10522" width="6.5703125" customWidth="1"/>
    <col min="10523" max="10523" width="11.140625" customWidth="1"/>
    <col min="10524" max="10524" width="12.7109375" customWidth="1"/>
    <col min="10525" max="10525" width="10.7109375" customWidth="1"/>
    <col min="10530" max="10530" width="6.5703125" customWidth="1"/>
    <col min="10534" max="10534" width="0.5703125" customWidth="1"/>
    <col min="10535" max="10535" width="15.28515625" customWidth="1"/>
    <col min="10536" max="10536" width="12.7109375" customWidth="1"/>
    <col min="10537" max="10537" width="12.85546875" customWidth="1"/>
    <col min="10538" max="10538" width="12.28515625" customWidth="1"/>
    <col min="10539" max="10539" width="11.7109375" customWidth="1"/>
    <col min="10540" max="10540" width="11.85546875" customWidth="1"/>
    <col min="10547" max="10547" width="5.42578125" customWidth="1"/>
    <col min="10549" max="10549" width="12.85546875" customWidth="1"/>
    <col min="10550" max="10550" width="12.7109375" customWidth="1"/>
    <col min="10551" max="10551" width="10.7109375" bestFit="1" customWidth="1"/>
    <col min="10744" max="10744" width="8.42578125" customWidth="1"/>
    <col min="10745" max="10745" width="15.42578125" customWidth="1"/>
    <col min="10746" max="10746" width="11.5703125" customWidth="1"/>
    <col min="10748" max="10748" width="25.7109375" customWidth="1"/>
    <col min="10749" max="10749" width="11.28515625" customWidth="1"/>
    <col min="10750" max="10750" width="12" customWidth="1"/>
    <col min="10751" max="10751" width="14.140625" customWidth="1"/>
    <col min="10753" max="10753" width="13" customWidth="1"/>
    <col min="10755" max="10755" width="13.5703125" customWidth="1"/>
    <col min="10756" max="10756" width="19.42578125" customWidth="1"/>
    <col min="10757" max="10757" width="6.5703125" customWidth="1"/>
    <col min="10758" max="10758" width="16.28515625" customWidth="1"/>
    <col min="10759" max="10759" width="12.140625" customWidth="1"/>
    <col min="10760" max="10760" width="8.7109375" customWidth="1"/>
    <col min="10761" max="10763" width="12.140625" customWidth="1"/>
    <col min="10765" max="10765" width="10.42578125" customWidth="1"/>
    <col min="10766" max="10766" width="13.5703125" customWidth="1"/>
    <col min="10778" max="10778" width="6.5703125" customWidth="1"/>
    <col min="10779" max="10779" width="11.140625" customWidth="1"/>
    <col min="10780" max="10780" width="12.7109375" customWidth="1"/>
    <col min="10781" max="10781" width="10.7109375" customWidth="1"/>
    <col min="10786" max="10786" width="6.5703125" customWidth="1"/>
    <col min="10790" max="10790" width="0.5703125" customWidth="1"/>
    <col min="10791" max="10791" width="15.28515625" customWidth="1"/>
    <col min="10792" max="10792" width="12.7109375" customWidth="1"/>
    <col min="10793" max="10793" width="12.85546875" customWidth="1"/>
    <col min="10794" max="10794" width="12.28515625" customWidth="1"/>
    <col min="10795" max="10795" width="11.7109375" customWidth="1"/>
    <col min="10796" max="10796" width="11.85546875" customWidth="1"/>
    <col min="10803" max="10803" width="5.42578125" customWidth="1"/>
    <col min="10805" max="10805" width="12.85546875" customWidth="1"/>
    <col min="10806" max="10806" width="12.7109375" customWidth="1"/>
    <col min="10807" max="10807" width="10.7109375" bestFit="1" customWidth="1"/>
    <col min="11000" max="11000" width="8.42578125" customWidth="1"/>
    <col min="11001" max="11001" width="15.42578125" customWidth="1"/>
    <col min="11002" max="11002" width="11.5703125" customWidth="1"/>
    <col min="11004" max="11004" width="25.7109375" customWidth="1"/>
    <col min="11005" max="11005" width="11.28515625" customWidth="1"/>
    <col min="11006" max="11006" width="12" customWidth="1"/>
    <col min="11007" max="11007" width="14.140625" customWidth="1"/>
    <col min="11009" max="11009" width="13" customWidth="1"/>
    <col min="11011" max="11011" width="13.5703125" customWidth="1"/>
    <col min="11012" max="11012" width="19.42578125" customWidth="1"/>
    <col min="11013" max="11013" width="6.5703125" customWidth="1"/>
    <col min="11014" max="11014" width="16.28515625" customWidth="1"/>
    <col min="11015" max="11015" width="12.140625" customWidth="1"/>
    <col min="11016" max="11016" width="8.7109375" customWidth="1"/>
    <col min="11017" max="11019" width="12.140625" customWidth="1"/>
    <col min="11021" max="11021" width="10.42578125" customWidth="1"/>
    <col min="11022" max="11022" width="13.5703125" customWidth="1"/>
    <col min="11034" max="11034" width="6.5703125" customWidth="1"/>
    <col min="11035" max="11035" width="11.140625" customWidth="1"/>
    <col min="11036" max="11036" width="12.7109375" customWidth="1"/>
    <col min="11037" max="11037" width="10.7109375" customWidth="1"/>
    <col min="11042" max="11042" width="6.5703125" customWidth="1"/>
    <col min="11046" max="11046" width="0.5703125" customWidth="1"/>
    <col min="11047" max="11047" width="15.28515625" customWidth="1"/>
    <col min="11048" max="11048" width="12.7109375" customWidth="1"/>
    <col min="11049" max="11049" width="12.85546875" customWidth="1"/>
    <col min="11050" max="11050" width="12.28515625" customWidth="1"/>
    <col min="11051" max="11051" width="11.7109375" customWidth="1"/>
    <col min="11052" max="11052" width="11.85546875" customWidth="1"/>
    <col min="11059" max="11059" width="5.42578125" customWidth="1"/>
    <col min="11061" max="11061" width="12.85546875" customWidth="1"/>
    <col min="11062" max="11062" width="12.7109375" customWidth="1"/>
    <col min="11063" max="11063" width="10.7109375" bestFit="1" customWidth="1"/>
    <col min="11256" max="11256" width="8.42578125" customWidth="1"/>
    <col min="11257" max="11257" width="15.42578125" customWidth="1"/>
    <col min="11258" max="11258" width="11.5703125" customWidth="1"/>
    <col min="11260" max="11260" width="25.7109375" customWidth="1"/>
    <col min="11261" max="11261" width="11.28515625" customWidth="1"/>
    <col min="11262" max="11262" width="12" customWidth="1"/>
    <col min="11263" max="11263" width="14.140625" customWidth="1"/>
    <col min="11265" max="11265" width="13" customWidth="1"/>
    <col min="11267" max="11267" width="13.5703125" customWidth="1"/>
    <col min="11268" max="11268" width="19.42578125" customWidth="1"/>
    <col min="11269" max="11269" width="6.5703125" customWidth="1"/>
    <col min="11270" max="11270" width="16.28515625" customWidth="1"/>
    <col min="11271" max="11271" width="12.140625" customWidth="1"/>
    <col min="11272" max="11272" width="8.7109375" customWidth="1"/>
    <col min="11273" max="11275" width="12.140625" customWidth="1"/>
    <col min="11277" max="11277" width="10.42578125" customWidth="1"/>
    <col min="11278" max="11278" width="13.5703125" customWidth="1"/>
    <col min="11290" max="11290" width="6.5703125" customWidth="1"/>
    <col min="11291" max="11291" width="11.140625" customWidth="1"/>
    <col min="11292" max="11292" width="12.7109375" customWidth="1"/>
    <col min="11293" max="11293" width="10.7109375" customWidth="1"/>
    <col min="11298" max="11298" width="6.5703125" customWidth="1"/>
    <col min="11302" max="11302" width="0.5703125" customWidth="1"/>
    <col min="11303" max="11303" width="15.28515625" customWidth="1"/>
    <col min="11304" max="11304" width="12.7109375" customWidth="1"/>
    <col min="11305" max="11305" width="12.85546875" customWidth="1"/>
    <col min="11306" max="11306" width="12.28515625" customWidth="1"/>
    <col min="11307" max="11307" width="11.7109375" customWidth="1"/>
    <col min="11308" max="11308" width="11.85546875" customWidth="1"/>
    <col min="11315" max="11315" width="5.42578125" customWidth="1"/>
    <col min="11317" max="11317" width="12.85546875" customWidth="1"/>
    <col min="11318" max="11318" width="12.7109375" customWidth="1"/>
    <col min="11319" max="11319" width="10.7109375" bestFit="1" customWidth="1"/>
    <col min="11512" max="11512" width="8.42578125" customWidth="1"/>
    <col min="11513" max="11513" width="15.42578125" customWidth="1"/>
    <col min="11514" max="11514" width="11.5703125" customWidth="1"/>
    <col min="11516" max="11516" width="25.7109375" customWidth="1"/>
    <col min="11517" max="11517" width="11.28515625" customWidth="1"/>
    <col min="11518" max="11518" width="12" customWidth="1"/>
    <col min="11519" max="11519" width="14.140625" customWidth="1"/>
    <col min="11521" max="11521" width="13" customWidth="1"/>
    <col min="11523" max="11523" width="13.5703125" customWidth="1"/>
    <col min="11524" max="11524" width="19.42578125" customWidth="1"/>
    <col min="11525" max="11525" width="6.5703125" customWidth="1"/>
    <col min="11526" max="11526" width="16.28515625" customWidth="1"/>
    <col min="11527" max="11527" width="12.140625" customWidth="1"/>
    <col min="11528" max="11528" width="8.7109375" customWidth="1"/>
    <col min="11529" max="11531" width="12.140625" customWidth="1"/>
    <col min="11533" max="11533" width="10.42578125" customWidth="1"/>
    <col min="11534" max="11534" width="13.5703125" customWidth="1"/>
    <col min="11546" max="11546" width="6.5703125" customWidth="1"/>
    <col min="11547" max="11547" width="11.140625" customWidth="1"/>
    <col min="11548" max="11548" width="12.7109375" customWidth="1"/>
    <col min="11549" max="11549" width="10.7109375" customWidth="1"/>
    <col min="11554" max="11554" width="6.5703125" customWidth="1"/>
    <col min="11558" max="11558" width="0.5703125" customWidth="1"/>
    <col min="11559" max="11559" width="15.28515625" customWidth="1"/>
    <col min="11560" max="11560" width="12.7109375" customWidth="1"/>
    <col min="11561" max="11561" width="12.85546875" customWidth="1"/>
    <col min="11562" max="11562" width="12.28515625" customWidth="1"/>
    <col min="11563" max="11563" width="11.7109375" customWidth="1"/>
    <col min="11564" max="11564" width="11.85546875" customWidth="1"/>
    <col min="11571" max="11571" width="5.42578125" customWidth="1"/>
    <col min="11573" max="11573" width="12.85546875" customWidth="1"/>
    <col min="11574" max="11574" width="12.7109375" customWidth="1"/>
    <col min="11575" max="11575" width="10.7109375" bestFit="1" customWidth="1"/>
    <col min="11768" max="11768" width="8.42578125" customWidth="1"/>
    <col min="11769" max="11769" width="15.42578125" customWidth="1"/>
    <col min="11770" max="11770" width="11.5703125" customWidth="1"/>
    <col min="11772" max="11772" width="25.7109375" customWidth="1"/>
    <col min="11773" max="11773" width="11.28515625" customWidth="1"/>
    <col min="11774" max="11774" width="12" customWidth="1"/>
    <col min="11775" max="11775" width="14.140625" customWidth="1"/>
    <col min="11777" max="11777" width="13" customWidth="1"/>
    <col min="11779" max="11779" width="13.5703125" customWidth="1"/>
    <col min="11780" max="11780" width="19.42578125" customWidth="1"/>
    <col min="11781" max="11781" width="6.5703125" customWidth="1"/>
    <col min="11782" max="11782" width="16.28515625" customWidth="1"/>
    <col min="11783" max="11783" width="12.140625" customWidth="1"/>
    <col min="11784" max="11784" width="8.7109375" customWidth="1"/>
    <col min="11785" max="11787" width="12.140625" customWidth="1"/>
    <col min="11789" max="11789" width="10.42578125" customWidth="1"/>
    <col min="11790" max="11790" width="13.5703125" customWidth="1"/>
    <col min="11802" max="11802" width="6.5703125" customWidth="1"/>
    <col min="11803" max="11803" width="11.140625" customWidth="1"/>
    <col min="11804" max="11804" width="12.7109375" customWidth="1"/>
    <col min="11805" max="11805" width="10.7109375" customWidth="1"/>
    <col min="11810" max="11810" width="6.5703125" customWidth="1"/>
    <col min="11814" max="11814" width="0.5703125" customWidth="1"/>
    <col min="11815" max="11815" width="15.28515625" customWidth="1"/>
    <col min="11816" max="11816" width="12.7109375" customWidth="1"/>
    <col min="11817" max="11817" width="12.85546875" customWidth="1"/>
    <col min="11818" max="11818" width="12.28515625" customWidth="1"/>
    <col min="11819" max="11819" width="11.7109375" customWidth="1"/>
    <col min="11820" max="11820" width="11.85546875" customWidth="1"/>
    <col min="11827" max="11827" width="5.42578125" customWidth="1"/>
    <col min="11829" max="11829" width="12.85546875" customWidth="1"/>
    <col min="11830" max="11830" width="12.7109375" customWidth="1"/>
    <col min="11831" max="11831" width="10.7109375" bestFit="1" customWidth="1"/>
    <col min="12024" max="12024" width="8.42578125" customWidth="1"/>
    <col min="12025" max="12025" width="15.42578125" customWidth="1"/>
    <col min="12026" max="12026" width="11.5703125" customWidth="1"/>
    <col min="12028" max="12028" width="25.7109375" customWidth="1"/>
    <col min="12029" max="12029" width="11.28515625" customWidth="1"/>
    <col min="12030" max="12030" width="12" customWidth="1"/>
    <col min="12031" max="12031" width="14.140625" customWidth="1"/>
    <col min="12033" max="12033" width="13" customWidth="1"/>
    <col min="12035" max="12035" width="13.5703125" customWidth="1"/>
    <col min="12036" max="12036" width="19.42578125" customWidth="1"/>
    <col min="12037" max="12037" width="6.5703125" customWidth="1"/>
    <col min="12038" max="12038" width="16.28515625" customWidth="1"/>
    <col min="12039" max="12039" width="12.140625" customWidth="1"/>
    <col min="12040" max="12040" width="8.7109375" customWidth="1"/>
    <col min="12041" max="12043" width="12.140625" customWidth="1"/>
    <col min="12045" max="12045" width="10.42578125" customWidth="1"/>
    <col min="12046" max="12046" width="13.5703125" customWidth="1"/>
    <col min="12058" max="12058" width="6.5703125" customWidth="1"/>
    <col min="12059" max="12059" width="11.140625" customWidth="1"/>
    <col min="12060" max="12060" width="12.7109375" customWidth="1"/>
    <col min="12061" max="12061" width="10.7109375" customWidth="1"/>
    <col min="12066" max="12066" width="6.5703125" customWidth="1"/>
    <col min="12070" max="12070" width="0.5703125" customWidth="1"/>
    <col min="12071" max="12071" width="15.28515625" customWidth="1"/>
    <col min="12072" max="12072" width="12.7109375" customWidth="1"/>
    <col min="12073" max="12073" width="12.85546875" customWidth="1"/>
    <col min="12074" max="12074" width="12.28515625" customWidth="1"/>
    <col min="12075" max="12075" width="11.7109375" customWidth="1"/>
    <col min="12076" max="12076" width="11.85546875" customWidth="1"/>
    <col min="12083" max="12083" width="5.42578125" customWidth="1"/>
    <col min="12085" max="12085" width="12.85546875" customWidth="1"/>
    <col min="12086" max="12086" width="12.7109375" customWidth="1"/>
    <col min="12087" max="12087" width="10.7109375" bestFit="1" customWidth="1"/>
    <col min="12280" max="12280" width="8.42578125" customWidth="1"/>
    <col min="12281" max="12281" width="15.42578125" customWidth="1"/>
    <col min="12282" max="12282" width="11.5703125" customWidth="1"/>
    <col min="12284" max="12284" width="25.7109375" customWidth="1"/>
    <col min="12285" max="12285" width="11.28515625" customWidth="1"/>
    <col min="12286" max="12286" width="12" customWidth="1"/>
    <col min="12287" max="12287" width="14.140625" customWidth="1"/>
    <col min="12289" max="12289" width="13" customWidth="1"/>
    <col min="12291" max="12291" width="13.5703125" customWidth="1"/>
    <col min="12292" max="12292" width="19.42578125" customWidth="1"/>
    <col min="12293" max="12293" width="6.5703125" customWidth="1"/>
    <col min="12294" max="12294" width="16.28515625" customWidth="1"/>
    <col min="12295" max="12295" width="12.140625" customWidth="1"/>
    <col min="12296" max="12296" width="8.7109375" customWidth="1"/>
    <col min="12297" max="12299" width="12.140625" customWidth="1"/>
    <col min="12301" max="12301" width="10.42578125" customWidth="1"/>
    <col min="12302" max="12302" width="13.5703125" customWidth="1"/>
    <col min="12314" max="12314" width="6.5703125" customWidth="1"/>
    <col min="12315" max="12315" width="11.140625" customWidth="1"/>
    <col min="12316" max="12316" width="12.7109375" customWidth="1"/>
    <col min="12317" max="12317" width="10.7109375" customWidth="1"/>
    <col min="12322" max="12322" width="6.5703125" customWidth="1"/>
    <col min="12326" max="12326" width="0.5703125" customWidth="1"/>
    <col min="12327" max="12327" width="15.28515625" customWidth="1"/>
    <col min="12328" max="12328" width="12.7109375" customWidth="1"/>
    <col min="12329" max="12329" width="12.85546875" customWidth="1"/>
    <col min="12330" max="12330" width="12.28515625" customWidth="1"/>
    <col min="12331" max="12331" width="11.7109375" customWidth="1"/>
    <col min="12332" max="12332" width="11.85546875" customWidth="1"/>
    <col min="12339" max="12339" width="5.42578125" customWidth="1"/>
    <col min="12341" max="12341" width="12.85546875" customWidth="1"/>
    <col min="12342" max="12342" width="12.7109375" customWidth="1"/>
    <col min="12343" max="12343" width="10.7109375" bestFit="1" customWidth="1"/>
    <col min="12536" max="12536" width="8.42578125" customWidth="1"/>
    <col min="12537" max="12537" width="15.42578125" customWidth="1"/>
    <col min="12538" max="12538" width="11.5703125" customWidth="1"/>
    <col min="12540" max="12540" width="25.7109375" customWidth="1"/>
    <col min="12541" max="12541" width="11.28515625" customWidth="1"/>
    <col min="12542" max="12542" width="12" customWidth="1"/>
    <col min="12543" max="12543" width="14.140625" customWidth="1"/>
    <col min="12545" max="12545" width="13" customWidth="1"/>
    <col min="12547" max="12547" width="13.5703125" customWidth="1"/>
    <col min="12548" max="12548" width="19.42578125" customWidth="1"/>
    <col min="12549" max="12549" width="6.5703125" customWidth="1"/>
    <col min="12550" max="12550" width="16.28515625" customWidth="1"/>
    <col min="12551" max="12551" width="12.140625" customWidth="1"/>
    <col min="12552" max="12552" width="8.7109375" customWidth="1"/>
    <col min="12553" max="12555" width="12.140625" customWidth="1"/>
    <col min="12557" max="12557" width="10.42578125" customWidth="1"/>
    <col min="12558" max="12558" width="13.5703125" customWidth="1"/>
    <col min="12570" max="12570" width="6.5703125" customWidth="1"/>
    <col min="12571" max="12571" width="11.140625" customWidth="1"/>
    <col min="12572" max="12572" width="12.7109375" customWidth="1"/>
    <col min="12573" max="12573" width="10.7109375" customWidth="1"/>
    <col min="12578" max="12578" width="6.5703125" customWidth="1"/>
    <col min="12582" max="12582" width="0.5703125" customWidth="1"/>
    <col min="12583" max="12583" width="15.28515625" customWidth="1"/>
    <col min="12584" max="12584" width="12.7109375" customWidth="1"/>
    <col min="12585" max="12585" width="12.85546875" customWidth="1"/>
    <col min="12586" max="12586" width="12.28515625" customWidth="1"/>
    <col min="12587" max="12587" width="11.7109375" customWidth="1"/>
    <col min="12588" max="12588" width="11.85546875" customWidth="1"/>
    <col min="12595" max="12595" width="5.42578125" customWidth="1"/>
    <col min="12597" max="12597" width="12.85546875" customWidth="1"/>
    <col min="12598" max="12598" width="12.7109375" customWidth="1"/>
    <col min="12599" max="12599" width="10.7109375" bestFit="1" customWidth="1"/>
    <col min="12792" max="12792" width="8.42578125" customWidth="1"/>
    <col min="12793" max="12793" width="15.42578125" customWidth="1"/>
    <col min="12794" max="12794" width="11.5703125" customWidth="1"/>
    <col min="12796" max="12796" width="25.7109375" customWidth="1"/>
    <col min="12797" max="12797" width="11.28515625" customWidth="1"/>
    <col min="12798" max="12798" width="12" customWidth="1"/>
    <col min="12799" max="12799" width="14.140625" customWidth="1"/>
    <col min="12801" max="12801" width="13" customWidth="1"/>
    <col min="12803" max="12803" width="13.5703125" customWidth="1"/>
    <col min="12804" max="12804" width="19.42578125" customWidth="1"/>
    <col min="12805" max="12805" width="6.5703125" customWidth="1"/>
    <col min="12806" max="12806" width="16.28515625" customWidth="1"/>
    <col min="12807" max="12807" width="12.140625" customWidth="1"/>
    <col min="12808" max="12808" width="8.7109375" customWidth="1"/>
    <col min="12809" max="12811" width="12.140625" customWidth="1"/>
    <col min="12813" max="12813" width="10.42578125" customWidth="1"/>
    <col min="12814" max="12814" width="13.5703125" customWidth="1"/>
    <col min="12826" max="12826" width="6.5703125" customWidth="1"/>
    <col min="12827" max="12827" width="11.140625" customWidth="1"/>
    <col min="12828" max="12828" width="12.7109375" customWidth="1"/>
    <col min="12829" max="12829" width="10.7109375" customWidth="1"/>
    <col min="12834" max="12834" width="6.5703125" customWidth="1"/>
    <col min="12838" max="12838" width="0.5703125" customWidth="1"/>
    <col min="12839" max="12839" width="15.28515625" customWidth="1"/>
    <col min="12840" max="12840" width="12.7109375" customWidth="1"/>
    <col min="12841" max="12841" width="12.85546875" customWidth="1"/>
    <col min="12842" max="12842" width="12.28515625" customWidth="1"/>
    <col min="12843" max="12843" width="11.7109375" customWidth="1"/>
    <col min="12844" max="12844" width="11.85546875" customWidth="1"/>
    <col min="12851" max="12851" width="5.42578125" customWidth="1"/>
    <col min="12853" max="12853" width="12.85546875" customWidth="1"/>
    <col min="12854" max="12854" width="12.7109375" customWidth="1"/>
    <col min="12855" max="12855" width="10.7109375" bestFit="1" customWidth="1"/>
    <col min="13048" max="13048" width="8.42578125" customWidth="1"/>
    <col min="13049" max="13049" width="15.42578125" customWidth="1"/>
    <col min="13050" max="13050" width="11.5703125" customWidth="1"/>
    <col min="13052" max="13052" width="25.7109375" customWidth="1"/>
    <col min="13053" max="13053" width="11.28515625" customWidth="1"/>
    <col min="13054" max="13054" width="12" customWidth="1"/>
    <col min="13055" max="13055" width="14.140625" customWidth="1"/>
    <col min="13057" max="13057" width="13" customWidth="1"/>
    <col min="13059" max="13059" width="13.5703125" customWidth="1"/>
    <col min="13060" max="13060" width="19.42578125" customWidth="1"/>
    <col min="13061" max="13061" width="6.5703125" customWidth="1"/>
    <col min="13062" max="13062" width="16.28515625" customWidth="1"/>
    <col min="13063" max="13063" width="12.140625" customWidth="1"/>
    <col min="13064" max="13064" width="8.7109375" customWidth="1"/>
    <col min="13065" max="13067" width="12.140625" customWidth="1"/>
    <col min="13069" max="13069" width="10.42578125" customWidth="1"/>
    <col min="13070" max="13070" width="13.5703125" customWidth="1"/>
    <col min="13082" max="13082" width="6.5703125" customWidth="1"/>
    <col min="13083" max="13083" width="11.140625" customWidth="1"/>
    <col min="13084" max="13084" width="12.7109375" customWidth="1"/>
    <col min="13085" max="13085" width="10.7109375" customWidth="1"/>
    <col min="13090" max="13090" width="6.5703125" customWidth="1"/>
    <col min="13094" max="13094" width="0.5703125" customWidth="1"/>
    <col min="13095" max="13095" width="15.28515625" customWidth="1"/>
    <col min="13096" max="13096" width="12.7109375" customWidth="1"/>
    <col min="13097" max="13097" width="12.85546875" customWidth="1"/>
    <col min="13098" max="13098" width="12.28515625" customWidth="1"/>
    <col min="13099" max="13099" width="11.7109375" customWidth="1"/>
    <col min="13100" max="13100" width="11.85546875" customWidth="1"/>
    <col min="13107" max="13107" width="5.42578125" customWidth="1"/>
    <col min="13109" max="13109" width="12.85546875" customWidth="1"/>
    <col min="13110" max="13110" width="12.7109375" customWidth="1"/>
    <col min="13111" max="13111" width="10.7109375" bestFit="1" customWidth="1"/>
    <col min="13304" max="13304" width="8.42578125" customWidth="1"/>
    <col min="13305" max="13305" width="15.42578125" customWidth="1"/>
    <col min="13306" max="13306" width="11.5703125" customWidth="1"/>
    <col min="13308" max="13308" width="25.7109375" customWidth="1"/>
    <col min="13309" max="13309" width="11.28515625" customWidth="1"/>
    <col min="13310" max="13310" width="12" customWidth="1"/>
    <col min="13311" max="13311" width="14.140625" customWidth="1"/>
    <col min="13313" max="13313" width="13" customWidth="1"/>
    <col min="13315" max="13315" width="13.5703125" customWidth="1"/>
    <col min="13316" max="13316" width="19.42578125" customWidth="1"/>
    <col min="13317" max="13317" width="6.5703125" customWidth="1"/>
    <col min="13318" max="13318" width="16.28515625" customWidth="1"/>
    <col min="13319" max="13319" width="12.140625" customWidth="1"/>
    <col min="13320" max="13320" width="8.7109375" customWidth="1"/>
    <col min="13321" max="13323" width="12.140625" customWidth="1"/>
    <col min="13325" max="13325" width="10.42578125" customWidth="1"/>
    <col min="13326" max="13326" width="13.5703125" customWidth="1"/>
    <col min="13338" max="13338" width="6.5703125" customWidth="1"/>
    <col min="13339" max="13339" width="11.140625" customWidth="1"/>
    <col min="13340" max="13340" width="12.7109375" customWidth="1"/>
    <col min="13341" max="13341" width="10.7109375" customWidth="1"/>
    <col min="13346" max="13346" width="6.5703125" customWidth="1"/>
    <col min="13350" max="13350" width="0.5703125" customWidth="1"/>
    <col min="13351" max="13351" width="15.28515625" customWidth="1"/>
    <col min="13352" max="13352" width="12.7109375" customWidth="1"/>
    <col min="13353" max="13353" width="12.85546875" customWidth="1"/>
    <col min="13354" max="13354" width="12.28515625" customWidth="1"/>
    <col min="13355" max="13355" width="11.7109375" customWidth="1"/>
    <col min="13356" max="13356" width="11.85546875" customWidth="1"/>
    <col min="13363" max="13363" width="5.42578125" customWidth="1"/>
    <col min="13365" max="13365" width="12.85546875" customWidth="1"/>
    <col min="13366" max="13366" width="12.7109375" customWidth="1"/>
    <col min="13367" max="13367" width="10.7109375" bestFit="1" customWidth="1"/>
    <col min="13560" max="13560" width="8.42578125" customWidth="1"/>
    <col min="13561" max="13561" width="15.42578125" customWidth="1"/>
    <col min="13562" max="13562" width="11.5703125" customWidth="1"/>
    <col min="13564" max="13564" width="25.7109375" customWidth="1"/>
    <col min="13565" max="13565" width="11.28515625" customWidth="1"/>
    <col min="13566" max="13566" width="12" customWidth="1"/>
    <col min="13567" max="13567" width="14.140625" customWidth="1"/>
    <col min="13569" max="13569" width="13" customWidth="1"/>
    <col min="13571" max="13571" width="13.5703125" customWidth="1"/>
    <col min="13572" max="13572" width="19.42578125" customWidth="1"/>
    <col min="13573" max="13573" width="6.5703125" customWidth="1"/>
    <col min="13574" max="13574" width="16.28515625" customWidth="1"/>
    <col min="13575" max="13575" width="12.140625" customWidth="1"/>
    <col min="13576" max="13576" width="8.7109375" customWidth="1"/>
    <col min="13577" max="13579" width="12.140625" customWidth="1"/>
    <col min="13581" max="13581" width="10.42578125" customWidth="1"/>
    <col min="13582" max="13582" width="13.5703125" customWidth="1"/>
    <col min="13594" max="13594" width="6.5703125" customWidth="1"/>
    <col min="13595" max="13595" width="11.140625" customWidth="1"/>
    <col min="13596" max="13596" width="12.7109375" customWidth="1"/>
    <col min="13597" max="13597" width="10.7109375" customWidth="1"/>
    <col min="13602" max="13602" width="6.5703125" customWidth="1"/>
    <col min="13606" max="13606" width="0.5703125" customWidth="1"/>
    <col min="13607" max="13607" width="15.28515625" customWidth="1"/>
    <col min="13608" max="13608" width="12.7109375" customWidth="1"/>
    <col min="13609" max="13609" width="12.85546875" customWidth="1"/>
    <col min="13610" max="13610" width="12.28515625" customWidth="1"/>
    <col min="13611" max="13611" width="11.7109375" customWidth="1"/>
    <col min="13612" max="13612" width="11.85546875" customWidth="1"/>
    <col min="13619" max="13619" width="5.42578125" customWidth="1"/>
    <col min="13621" max="13621" width="12.85546875" customWidth="1"/>
    <col min="13622" max="13622" width="12.7109375" customWidth="1"/>
    <col min="13623" max="13623" width="10.7109375" bestFit="1" customWidth="1"/>
    <col min="13816" max="13816" width="8.42578125" customWidth="1"/>
    <col min="13817" max="13817" width="15.42578125" customWidth="1"/>
    <col min="13818" max="13818" width="11.5703125" customWidth="1"/>
    <col min="13820" max="13820" width="25.7109375" customWidth="1"/>
    <col min="13821" max="13821" width="11.28515625" customWidth="1"/>
    <col min="13822" max="13822" width="12" customWidth="1"/>
    <col min="13823" max="13823" width="14.140625" customWidth="1"/>
    <col min="13825" max="13825" width="13" customWidth="1"/>
    <col min="13827" max="13827" width="13.5703125" customWidth="1"/>
    <col min="13828" max="13828" width="19.42578125" customWidth="1"/>
    <col min="13829" max="13829" width="6.5703125" customWidth="1"/>
    <col min="13830" max="13830" width="16.28515625" customWidth="1"/>
    <col min="13831" max="13831" width="12.140625" customWidth="1"/>
    <col min="13832" max="13832" width="8.7109375" customWidth="1"/>
    <col min="13833" max="13835" width="12.140625" customWidth="1"/>
    <col min="13837" max="13837" width="10.42578125" customWidth="1"/>
    <col min="13838" max="13838" width="13.5703125" customWidth="1"/>
    <col min="13850" max="13850" width="6.5703125" customWidth="1"/>
    <col min="13851" max="13851" width="11.140625" customWidth="1"/>
    <col min="13852" max="13852" width="12.7109375" customWidth="1"/>
    <col min="13853" max="13853" width="10.7109375" customWidth="1"/>
    <col min="13858" max="13858" width="6.5703125" customWidth="1"/>
    <col min="13862" max="13862" width="0.5703125" customWidth="1"/>
    <col min="13863" max="13863" width="15.28515625" customWidth="1"/>
    <col min="13864" max="13864" width="12.7109375" customWidth="1"/>
    <col min="13865" max="13865" width="12.85546875" customWidth="1"/>
    <col min="13866" max="13866" width="12.28515625" customWidth="1"/>
    <col min="13867" max="13867" width="11.7109375" customWidth="1"/>
    <col min="13868" max="13868" width="11.85546875" customWidth="1"/>
    <col min="13875" max="13875" width="5.42578125" customWidth="1"/>
    <col min="13877" max="13877" width="12.85546875" customWidth="1"/>
    <col min="13878" max="13878" width="12.7109375" customWidth="1"/>
    <col min="13879" max="13879" width="10.7109375" bestFit="1" customWidth="1"/>
    <col min="14072" max="14072" width="8.42578125" customWidth="1"/>
    <col min="14073" max="14073" width="15.42578125" customWidth="1"/>
    <col min="14074" max="14074" width="11.5703125" customWidth="1"/>
    <col min="14076" max="14076" width="25.7109375" customWidth="1"/>
    <col min="14077" max="14077" width="11.28515625" customWidth="1"/>
    <col min="14078" max="14078" width="12" customWidth="1"/>
    <col min="14079" max="14079" width="14.140625" customWidth="1"/>
    <col min="14081" max="14081" width="13" customWidth="1"/>
    <col min="14083" max="14083" width="13.5703125" customWidth="1"/>
    <col min="14084" max="14084" width="19.42578125" customWidth="1"/>
    <col min="14085" max="14085" width="6.5703125" customWidth="1"/>
    <col min="14086" max="14086" width="16.28515625" customWidth="1"/>
    <col min="14087" max="14087" width="12.140625" customWidth="1"/>
    <col min="14088" max="14088" width="8.7109375" customWidth="1"/>
    <col min="14089" max="14091" width="12.140625" customWidth="1"/>
    <col min="14093" max="14093" width="10.42578125" customWidth="1"/>
    <col min="14094" max="14094" width="13.5703125" customWidth="1"/>
    <col min="14106" max="14106" width="6.5703125" customWidth="1"/>
    <col min="14107" max="14107" width="11.140625" customWidth="1"/>
    <col min="14108" max="14108" width="12.7109375" customWidth="1"/>
    <col min="14109" max="14109" width="10.7109375" customWidth="1"/>
    <col min="14114" max="14114" width="6.5703125" customWidth="1"/>
    <col min="14118" max="14118" width="0.5703125" customWidth="1"/>
    <col min="14119" max="14119" width="15.28515625" customWidth="1"/>
    <col min="14120" max="14120" width="12.7109375" customWidth="1"/>
    <col min="14121" max="14121" width="12.85546875" customWidth="1"/>
    <col min="14122" max="14122" width="12.28515625" customWidth="1"/>
    <col min="14123" max="14123" width="11.7109375" customWidth="1"/>
    <col min="14124" max="14124" width="11.85546875" customWidth="1"/>
    <col min="14131" max="14131" width="5.42578125" customWidth="1"/>
    <col min="14133" max="14133" width="12.85546875" customWidth="1"/>
    <col min="14134" max="14134" width="12.7109375" customWidth="1"/>
    <col min="14135" max="14135" width="10.7109375" bestFit="1" customWidth="1"/>
    <col min="14328" max="14328" width="8.42578125" customWidth="1"/>
    <col min="14329" max="14329" width="15.42578125" customWidth="1"/>
    <col min="14330" max="14330" width="11.5703125" customWidth="1"/>
    <col min="14332" max="14332" width="25.7109375" customWidth="1"/>
    <col min="14333" max="14333" width="11.28515625" customWidth="1"/>
    <col min="14334" max="14334" width="12" customWidth="1"/>
    <col min="14335" max="14335" width="14.140625" customWidth="1"/>
    <col min="14337" max="14337" width="13" customWidth="1"/>
    <col min="14339" max="14339" width="13.5703125" customWidth="1"/>
    <col min="14340" max="14340" width="19.42578125" customWidth="1"/>
    <col min="14341" max="14341" width="6.5703125" customWidth="1"/>
    <col min="14342" max="14342" width="16.28515625" customWidth="1"/>
    <col min="14343" max="14343" width="12.140625" customWidth="1"/>
    <col min="14344" max="14344" width="8.7109375" customWidth="1"/>
    <col min="14345" max="14347" width="12.140625" customWidth="1"/>
    <col min="14349" max="14349" width="10.42578125" customWidth="1"/>
    <col min="14350" max="14350" width="13.5703125" customWidth="1"/>
    <col min="14362" max="14362" width="6.5703125" customWidth="1"/>
    <col min="14363" max="14363" width="11.140625" customWidth="1"/>
    <col min="14364" max="14364" width="12.7109375" customWidth="1"/>
    <col min="14365" max="14365" width="10.7109375" customWidth="1"/>
    <col min="14370" max="14370" width="6.5703125" customWidth="1"/>
    <col min="14374" max="14374" width="0.5703125" customWidth="1"/>
    <col min="14375" max="14375" width="15.28515625" customWidth="1"/>
    <col min="14376" max="14376" width="12.7109375" customWidth="1"/>
    <col min="14377" max="14377" width="12.85546875" customWidth="1"/>
    <col min="14378" max="14378" width="12.28515625" customWidth="1"/>
    <col min="14379" max="14379" width="11.7109375" customWidth="1"/>
    <col min="14380" max="14380" width="11.85546875" customWidth="1"/>
    <col min="14387" max="14387" width="5.42578125" customWidth="1"/>
    <col min="14389" max="14389" width="12.85546875" customWidth="1"/>
    <col min="14390" max="14390" width="12.7109375" customWidth="1"/>
    <col min="14391" max="14391" width="10.7109375" bestFit="1" customWidth="1"/>
    <col min="14584" max="14584" width="8.42578125" customWidth="1"/>
    <col min="14585" max="14585" width="15.42578125" customWidth="1"/>
    <col min="14586" max="14586" width="11.5703125" customWidth="1"/>
    <col min="14588" max="14588" width="25.7109375" customWidth="1"/>
    <col min="14589" max="14589" width="11.28515625" customWidth="1"/>
    <col min="14590" max="14590" width="12" customWidth="1"/>
    <col min="14591" max="14591" width="14.140625" customWidth="1"/>
    <col min="14593" max="14593" width="13" customWidth="1"/>
    <col min="14595" max="14595" width="13.5703125" customWidth="1"/>
    <col min="14596" max="14596" width="19.42578125" customWidth="1"/>
    <col min="14597" max="14597" width="6.5703125" customWidth="1"/>
    <col min="14598" max="14598" width="16.28515625" customWidth="1"/>
    <col min="14599" max="14599" width="12.140625" customWidth="1"/>
    <col min="14600" max="14600" width="8.7109375" customWidth="1"/>
    <col min="14601" max="14603" width="12.140625" customWidth="1"/>
    <col min="14605" max="14605" width="10.42578125" customWidth="1"/>
    <col min="14606" max="14606" width="13.5703125" customWidth="1"/>
    <col min="14618" max="14618" width="6.5703125" customWidth="1"/>
    <col min="14619" max="14619" width="11.140625" customWidth="1"/>
    <col min="14620" max="14620" width="12.7109375" customWidth="1"/>
    <col min="14621" max="14621" width="10.7109375" customWidth="1"/>
    <col min="14626" max="14626" width="6.5703125" customWidth="1"/>
    <col min="14630" max="14630" width="0.5703125" customWidth="1"/>
    <col min="14631" max="14631" width="15.28515625" customWidth="1"/>
    <col min="14632" max="14632" width="12.7109375" customWidth="1"/>
    <col min="14633" max="14633" width="12.85546875" customWidth="1"/>
    <col min="14634" max="14634" width="12.28515625" customWidth="1"/>
    <col min="14635" max="14635" width="11.7109375" customWidth="1"/>
    <col min="14636" max="14636" width="11.85546875" customWidth="1"/>
    <col min="14643" max="14643" width="5.42578125" customWidth="1"/>
    <col min="14645" max="14645" width="12.85546875" customWidth="1"/>
    <col min="14646" max="14646" width="12.7109375" customWidth="1"/>
    <col min="14647" max="14647" width="10.7109375" bestFit="1" customWidth="1"/>
    <col min="14840" max="14840" width="8.42578125" customWidth="1"/>
    <col min="14841" max="14841" width="15.42578125" customWidth="1"/>
    <col min="14842" max="14842" width="11.5703125" customWidth="1"/>
    <col min="14844" max="14844" width="25.7109375" customWidth="1"/>
    <col min="14845" max="14845" width="11.28515625" customWidth="1"/>
    <col min="14846" max="14846" width="12" customWidth="1"/>
    <col min="14847" max="14847" width="14.140625" customWidth="1"/>
    <col min="14849" max="14849" width="13" customWidth="1"/>
    <col min="14851" max="14851" width="13.5703125" customWidth="1"/>
    <col min="14852" max="14852" width="19.42578125" customWidth="1"/>
    <col min="14853" max="14853" width="6.5703125" customWidth="1"/>
    <col min="14854" max="14854" width="16.28515625" customWidth="1"/>
    <col min="14855" max="14855" width="12.140625" customWidth="1"/>
    <col min="14856" max="14856" width="8.7109375" customWidth="1"/>
    <col min="14857" max="14859" width="12.140625" customWidth="1"/>
    <col min="14861" max="14861" width="10.42578125" customWidth="1"/>
    <col min="14862" max="14862" width="13.5703125" customWidth="1"/>
    <col min="14874" max="14874" width="6.5703125" customWidth="1"/>
    <col min="14875" max="14875" width="11.140625" customWidth="1"/>
    <col min="14876" max="14876" width="12.7109375" customWidth="1"/>
    <col min="14877" max="14877" width="10.7109375" customWidth="1"/>
    <col min="14882" max="14882" width="6.5703125" customWidth="1"/>
    <col min="14886" max="14886" width="0.5703125" customWidth="1"/>
    <col min="14887" max="14887" width="15.28515625" customWidth="1"/>
    <col min="14888" max="14888" width="12.7109375" customWidth="1"/>
    <col min="14889" max="14889" width="12.85546875" customWidth="1"/>
    <col min="14890" max="14890" width="12.28515625" customWidth="1"/>
    <col min="14891" max="14891" width="11.7109375" customWidth="1"/>
    <col min="14892" max="14892" width="11.85546875" customWidth="1"/>
    <col min="14899" max="14899" width="5.42578125" customWidth="1"/>
    <col min="14901" max="14901" width="12.85546875" customWidth="1"/>
    <col min="14902" max="14902" width="12.7109375" customWidth="1"/>
    <col min="14903" max="14903" width="10.7109375" bestFit="1" customWidth="1"/>
    <col min="15096" max="15096" width="8.42578125" customWidth="1"/>
    <col min="15097" max="15097" width="15.42578125" customWidth="1"/>
    <col min="15098" max="15098" width="11.5703125" customWidth="1"/>
    <col min="15100" max="15100" width="25.7109375" customWidth="1"/>
    <col min="15101" max="15101" width="11.28515625" customWidth="1"/>
    <col min="15102" max="15102" width="12" customWidth="1"/>
    <col min="15103" max="15103" width="14.140625" customWidth="1"/>
    <col min="15105" max="15105" width="13" customWidth="1"/>
    <col min="15107" max="15107" width="13.5703125" customWidth="1"/>
    <col min="15108" max="15108" width="19.42578125" customWidth="1"/>
    <col min="15109" max="15109" width="6.5703125" customWidth="1"/>
    <col min="15110" max="15110" width="16.28515625" customWidth="1"/>
    <col min="15111" max="15111" width="12.140625" customWidth="1"/>
    <col min="15112" max="15112" width="8.7109375" customWidth="1"/>
    <col min="15113" max="15115" width="12.140625" customWidth="1"/>
    <col min="15117" max="15117" width="10.42578125" customWidth="1"/>
    <col min="15118" max="15118" width="13.5703125" customWidth="1"/>
    <col min="15130" max="15130" width="6.5703125" customWidth="1"/>
    <col min="15131" max="15131" width="11.140625" customWidth="1"/>
    <col min="15132" max="15132" width="12.7109375" customWidth="1"/>
    <col min="15133" max="15133" width="10.7109375" customWidth="1"/>
    <col min="15138" max="15138" width="6.5703125" customWidth="1"/>
    <col min="15142" max="15142" width="0.5703125" customWidth="1"/>
    <col min="15143" max="15143" width="15.28515625" customWidth="1"/>
    <col min="15144" max="15144" width="12.7109375" customWidth="1"/>
    <col min="15145" max="15145" width="12.85546875" customWidth="1"/>
    <col min="15146" max="15146" width="12.28515625" customWidth="1"/>
    <col min="15147" max="15147" width="11.7109375" customWidth="1"/>
    <col min="15148" max="15148" width="11.85546875" customWidth="1"/>
    <col min="15155" max="15155" width="5.42578125" customWidth="1"/>
    <col min="15157" max="15157" width="12.85546875" customWidth="1"/>
    <col min="15158" max="15158" width="12.7109375" customWidth="1"/>
    <col min="15159" max="15159" width="10.7109375" bestFit="1" customWidth="1"/>
    <col min="15352" max="15352" width="8.42578125" customWidth="1"/>
    <col min="15353" max="15353" width="15.42578125" customWidth="1"/>
    <col min="15354" max="15354" width="11.5703125" customWidth="1"/>
    <col min="15356" max="15356" width="25.7109375" customWidth="1"/>
    <col min="15357" max="15357" width="11.28515625" customWidth="1"/>
    <col min="15358" max="15358" width="12" customWidth="1"/>
    <col min="15359" max="15359" width="14.140625" customWidth="1"/>
    <col min="15361" max="15361" width="13" customWidth="1"/>
    <col min="15363" max="15363" width="13.5703125" customWidth="1"/>
    <col min="15364" max="15364" width="19.42578125" customWidth="1"/>
    <col min="15365" max="15365" width="6.5703125" customWidth="1"/>
    <col min="15366" max="15366" width="16.28515625" customWidth="1"/>
    <col min="15367" max="15367" width="12.140625" customWidth="1"/>
    <col min="15368" max="15368" width="8.7109375" customWidth="1"/>
    <col min="15369" max="15371" width="12.140625" customWidth="1"/>
    <col min="15373" max="15373" width="10.42578125" customWidth="1"/>
    <col min="15374" max="15374" width="13.5703125" customWidth="1"/>
    <col min="15386" max="15386" width="6.5703125" customWidth="1"/>
    <col min="15387" max="15387" width="11.140625" customWidth="1"/>
    <col min="15388" max="15388" width="12.7109375" customWidth="1"/>
    <col min="15389" max="15389" width="10.7109375" customWidth="1"/>
    <col min="15394" max="15394" width="6.5703125" customWidth="1"/>
    <col min="15398" max="15398" width="0.5703125" customWidth="1"/>
    <col min="15399" max="15399" width="15.28515625" customWidth="1"/>
    <col min="15400" max="15400" width="12.7109375" customWidth="1"/>
    <col min="15401" max="15401" width="12.85546875" customWidth="1"/>
    <col min="15402" max="15402" width="12.28515625" customWidth="1"/>
    <col min="15403" max="15403" width="11.7109375" customWidth="1"/>
    <col min="15404" max="15404" width="11.85546875" customWidth="1"/>
    <col min="15411" max="15411" width="5.42578125" customWidth="1"/>
    <col min="15413" max="15413" width="12.85546875" customWidth="1"/>
    <col min="15414" max="15414" width="12.7109375" customWidth="1"/>
    <col min="15415" max="15415" width="10.7109375" bestFit="1" customWidth="1"/>
    <col min="15608" max="15608" width="8.42578125" customWidth="1"/>
    <col min="15609" max="15609" width="15.42578125" customWidth="1"/>
    <col min="15610" max="15610" width="11.5703125" customWidth="1"/>
    <col min="15612" max="15612" width="25.7109375" customWidth="1"/>
    <col min="15613" max="15613" width="11.28515625" customWidth="1"/>
    <col min="15614" max="15614" width="12" customWidth="1"/>
    <col min="15615" max="15615" width="14.140625" customWidth="1"/>
    <col min="15617" max="15617" width="13" customWidth="1"/>
    <col min="15619" max="15619" width="13.5703125" customWidth="1"/>
    <col min="15620" max="15620" width="19.42578125" customWidth="1"/>
    <col min="15621" max="15621" width="6.5703125" customWidth="1"/>
    <col min="15622" max="15622" width="16.28515625" customWidth="1"/>
    <col min="15623" max="15623" width="12.140625" customWidth="1"/>
    <col min="15624" max="15624" width="8.7109375" customWidth="1"/>
    <col min="15625" max="15627" width="12.140625" customWidth="1"/>
    <col min="15629" max="15629" width="10.42578125" customWidth="1"/>
    <col min="15630" max="15630" width="13.5703125" customWidth="1"/>
    <col min="15642" max="15642" width="6.5703125" customWidth="1"/>
    <col min="15643" max="15643" width="11.140625" customWidth="1"/>
    <col min="15644" max="15644" width="12.7109375" customWidth="1"/>
    <col min="15645" max="15645" width="10.7109375" customWidth="1"/>
    <col min="15650" max="15650" width="6.5703125" customWidth="1"/>
    <col min="15654" max="15654" width="0.5703125" customWidth="1"/>
    <col min="15655" max="15655" width="15.28515625" customWidth="1"/>
    <col min="15656" max="15656" width="12.7109375" customWidth="1"/>
    <col min="15657" max="15657" width="12.85546875" customWidth="1"/>
    <col min="15658" max="15658" width="12.28515625" customWidth="1"/>
    <col min="15659" max="15659" width="11.7109375" customWidth="1"/>
    <col min="15660" max="15660" width="11.85546875" customWidth="1"/>
    <col min="15667" max="15667" width="5.42578125" customWidth="1"/>
    <col min="15669" max="15669" width="12.85546875" customWidth="1"/>
    <col min="15670" max="15670" width="12.7109375" customWidth="1"/>
    <col min="15671" max="15671" width="10.7109375" bestFit="1" customWidth="1"/>
    <col min="15864" max="15864" width="8.42578125" customWidth="1"/>
    <col min="15865" max="15865" width="15.42578125" customWidth="1"/>
    <col min="15866" max="15866" width="11.5703125" customWidth="1"/>
    <col min="15868" max="15868" width="25.7109375" customWidth="1"/>
    <col min="15869" max="15869" width="11.28515625" customWidth="1"/>
    <col min="15870" max="15870" width="12" customWidth="1"/>
    <col min="15871" max="15871" width="14.140625" customWidth="1"/>
    <col min="15873" max="15873" width="13" customWidth="1"/>
    <col min="15875" max="15875" width="13.5703125" customWidth="1"/>
    <col min="15876" max="15876" width="19.42578125" customWidth="1"/>
    <col min="15877" max="15877" width="6.5703125" customWidth="1"/>
    <col min="15878" max="15878" width="16.28515625" customWidth="1"/>
    <col min="15879" max="15879" width="12.140625" customWidth="1"/>
    <col min="15880" max="15880" width="8.7109375" customWidth="1"/>
    <col min="15881" max="15883" width="12.140625" customWidth="1"/>
    <col min="15885" max="15885" width="10.42578125" customWidth="1"/>
    <col min="15886" max="15886" width="13.5703125" customWidth="1"/>
    <col min="15898" max="15898" width="6.5703125" customWidth="1"/>
    <col min="15899" max="15899" width="11.140625" customWidth="1"/>
    <col min="15900" max="15900" width="12.7109375" customWidth="1"/>
    <col min="15901" max="15901" width="10.7109375" customWidth="1"/>
    <col min="15906" max="15906" width="6.5703125" customWidth="1"/>
    <col min="15910" max="15910" width="0.5703125" customWidth="1"/>
    <col min="15911" max="15911" width="15.28515625" customWidth="1"/>
    <col min="15912" max="15912" width="12.7109375" customWidth="1"/>
    <col min="15913" max="15913" width="12.85546875" customWidth="1"/>
    <col min="15914" max="15914" width="12.28515625" customWidth="1"/>
    <col min="15915" max="15915" width="11.7109375" customWidth="1"/>
    <col min="15916" max="15916" width="11.85546875" customWidth="1"/>
    <col min="15923" max="15923" width="5.42578125" customWidth="1"/>
    <col min="15925" max="15925" width="12.85546875" customWidth="1"/>
    <col min="15926" max="15926" width="12.7109375" customWidth="1"/>
    <col min="15927" max="15927" width="10.7109375" bestFit="1" customWidth="1"/>
    <col min="16120" max="16120" width="8.42578125" customWidth="1"/>
    <col min="16121" max="16121" width="15.42578125" customWidth="1"/>
    <col min="16122" max="16122" width="11.5703125" customWidth="1"/>
    <col min="16124" max="16124" width="25.7109375" customWidth="1"/>
    <col min="16125" max="16125" width="11.28515625" customWidth="1"/>
    <col min="16126" max="16126" width="12" customWidth="1"/>
    <col min="16127" max="16127" width="14.140625" customWidth="1"/>
    <col min="16129" max="16129" width="13" customWidth="1"/>
    <col min="16131" max="16131" width="13.5703125" customWidth="1"/>
    <col min="16132" max="16132" width="19.42578125" customWidth="1"/>
    <col min="16133" max="16133" width="6.5703125" customWidth="1"/>
    <col min="16134" max="16134" width="16.28515625" customWidth="1"/>
    <col min="16135" max="16135" width="12.140625" customWidth="1"/>
    <col min="16136" max="16136" width="8.7109375" customWidth="1"/>
    <col min="16137" max="16139" width="12.140625" customWidth="1"/>
    <col min="16141" max="16141" width="10.42578125" customWidth="1"/>
    <col min="16142" max="16142" width="13.5703125" customWidth="1"/>
    <col min="16154" max="16154" width="6.5703125" customWidth="1"/>
    <col min="16155" max="16155" width="11.140625" customWidth="1"/>
    <col min="16156" max="16156" width="12.7109375" customWidth="1"/>
    <col min="16157" max="16157" width="10.7109375" customWidth="1"/>
    <col min="16162" max="16162" width="6.5703125" customWidth="1"/>
    <col min="16166" max="16166" width="0.5703125" customWidth="1"/>
    <col min="16167" max="16167" width="15.28515625" customWidth="1"/>
    <col min="16168" max="16168" width="12.7109375" customWidth="1"/>
    <col min="16169" max="16169" width="12.85546875" customWidth="1"/>
    <col min="16170" max="16170" width="12.28515625" customWidth="1"/>
    <col min="16171" max="16171" width="11.7109375" customWidth="1"/>
    <col min="16172" max="16172" width="11.85546875" customWidth="1"/>
    <col min="16179" max="16179" width="5.42578125" customWidth="1"/>
    <col min="16181" max="16181" width="12.85546875" customWidth="1"/>
    <col min="16182" max="16182" width="12.7109375" customWidth="1"/>
    <col min="16183" max="16183" width="10.7109375" bestFit="1" customWidth="1"/>
  </cols>
  <sheetData>
    <row r="1" spans="1:14" x14ac:dyDescent="0.2">
      <c r="B1" s="29"/>
      <c r="C1" s="29"/>
      <c r="D1" s="29"/>
      <c r="E1" s="29"/>
      <c r="F1" s="29"/>
      <c r="G1" s="29"/>
      <c r="H1" s="30" t="s">
        <v>36</v>
      </c>
      <c r="I1" s="29"/>
      <c r="J1" s="29"/>
      <c r="K1" s="29"/>
    </row>
    <row r="2" spans="1:14" x14ac:dyDescent="0.2">
      <c r="B2" s="29"/>
      <c r="C2" s="29"/>
      <c r="D2" s="29"/>
      <c r="E2" s="29"/>
      <c r="F2" s="29"/>
      <c r="G2" s="29"/>
      <c r="H2" s="30" t="s">
        <v>37</v>
      </c>
      <c r="I2" s="29"/>
      <c r="J2" s="29"/>
      <c r="K2" s="29"/>
    </row>
    <row r="3" spans="1:14" x14ac:dyDescent="0.2">
      <c r="B3" s="29"/>
      <c r="C3" s="29"/>
      <c r="D3" s="29"/>
      <c r="E3" s="29"/>
      <c r="F3" s="29"/>
      <c r="G3" s="29"/>
      <c r="H3" s="30" t="s">
        <v>38</v>
      </c>
      <c r="I3" s="29"/>
      <c r="J3" s="29"/>
      <c r="K3" s="29"/>
    </row>
    <row r="4" spans="1:14" ht="18.75" x14ac:dyDescent="0.3">
      <c r="A4" s="31"/>
      <c r="B4" s="169" t="s">
        <v>160</v>
      </c>
      <c r="C4" s="169"/>
      <c r="D4" s="169"/>
      <c r="E4" s="169"/>
      <c r="F4" s="169"/>
      <c r="G4" s="169"/>
      <c r="H4" s="169"/>
      <c r="I4" s="169"/>
      <c r="J4" s="97"/>
      <c r="K4" s="97"/>
      <c r="L4" s="31"/>
    </row>
    <row r="5" spans="1:14" ht="15.75" x14ac:dyDescent="0.25">
      <c r="A5" s="31"/>
      <c r="B5" s="29"/>
      <c r="C5" s="29"/>
      <c r="D5" s="29"/>
      <c r="E5" s="154" t="s">
        <v>39</v>
      </c>
      <c r="F5" s="154"/>
      <c r="G5" s="153"/>
      <c r="H5" s="152"/>
      <c r="I5" s="29"/>
      <c r="J5" s="29"/>
      <c r="K5" s="29"/>
      <c r="L5" s="31"/>
    </row>
    <row r="6" spans="1:14" ht="15" x14ac:dyDescent="0.25">
      <c r="A6" s="32"/>
      <c r="B6" s="170" t="s">
        <v>40</v>
      </c>
      <c r="C6" s="171"/>
      <c r="D6" s="170" t="s">
        <v>41</v>
      </c>
      <c r="E6" s="172"/>
      <c r="F6" s="172"/>
      <c r="G6" s="172"/>
      <c r="H6" s="171"/>
      <c r="I6" s="33" t="s">
        <v>42</v>
      </c>
      <c r="J6" s="33" t="s">
        <v>43</v>
      </c>
      <c r="K6" s="32"/>
      <c r="L6" s="31"/>
    </row>
    <row r="7" spans="1:14" ht="15" x14ac:dyDescent="0.25">
      <c r="A7" s="34"/>
      <c r="B7" s="173" t="s">
        <v>44</v>
      </c>
      <c r="C7" s="174"/>
      <c r="D7" s="179" t="s">
        <v>164</v>
      </c>
      <c r="E7" s="180"/>
      <c r="F7" s="180"/>
      <c r="G7" s="35">
        <v>70</v>
      </c>
      <c r="H7" s="149" t="s">
        <v>220</v>
      </c>
      <c r="I7" s="166">
        <f>SUM(1884.17*48)</f>
        <v>90440.16</v>
      </c>
      <c r="J7" s="36">
        <f t="shared" ref="J7:J37" si="0">I7/19620</f>
        <v>4.6095902140672784</v>
      </c>
      <c r="K7" s="34"/>
      <c r="L7" s="31"/>
      <c r="M7" s="166">
        <f>SUM(132.595*20.3/100*70)</f>
        <v>1884.1749500000001</v>
      </c>
      <c r="N7" s="167">
        <f>SUM(1884.17*48)</f>
        <v>90440.16</v>
      </c>
    </row>
    <row r="8" spans="1:14" ht="15" x14ac:dyDescent="0.25">
      <c r="A8" s="38"/>
      <c r="B8" s="175"/>
      <c r="C8" s="176"/>
      <c r="D8" s="179" t="s">
        <v>161</v>
      </c>
      <c r="E8" s="180"/>
      <c r="F8" s="180"/>
      <c r="G8" s="35">
        <v>70</v>
      </c>
      <c r="H8" s="149" t="s">
        <v>189</v>
      </c>
      <c r="I8" s="166">
        <f>SUM(ROUND(1796.14*48,0))</f>
        <v>86215</v>
      </c>
      <c r="J8" s="36">
        <f t="shared" si="0"/>
        <v>4.3942405708460752</v>
      </c>
      <c r="K8" s="34"/>
      <c r="L8" s="31"/>
      <c r="M8" s="39">
        <f>SUM(126.4*20.3/100*70)</f>
        <v>1796.1440000000002</v>
      </c>
      <c r="N8" s="167">
        <f>SUM(ROUND(1796.14*48,0))</f>
        <v>86215</v>
      </c>
    </row>
    <row r="9" spans="1:14" ht="15" x14ac:dyDescent="0.25">
      <c r="A9" s="38"/>
      <c r="B9" s="175"/>
      <c r="C9" s="176"/>
      <c r="D9" s="179" t="s">
        <v>165</v>
      </c>
      <c r="E9" s="180"/>
      <c r="F9" s="180"/>
      <c r="G9" s="35">
        <v>70</v>
      </c>
      <c r="H9" s="165" t="s">
        <v>219</v>
      </c>
      <c r="I9" s="166">
        <f>SUM(1690*48)</f>
        <v>81120</v>
      </c>
      <c r="J9" s="36">
        <f t="shared" si="0"/>
        <v>4.1345565749235478</v>
      </c>
      <c r="K9" s="34"/>
      <c r="L9" s="31"/>
      <c r="M9" s="39">
        <f>SUM(ROUND(118.9*20.3/100*70,0))</f>
        <v>1690</v>
      </c>
      <c r="N9" s="167">
        <f>SUM(ROUND(1690*48,0))</f>
        <v>81120</v>
      </c>
    </row>
    <row r="10" spans="1:14" ht="15" customHeight="1" x14ac:dyDescent="0.25">
      <c r="A10" s="38"/>
      <c r="B10" s="175"/>
      <c r="C10" s="176"/>
      <c r="D10" s="179" t="s">
        <v>162</v>
      </c>
      <c r="E10" s="180"/>
      <c r="F10" s="180"/>
      <c r="G10" s="35">
        <v>70</v>
      </c>
      <c r="H10" s="149" t="s">
        <v>190</v>
      </c>
      <c r="I10" s="166">
        <f>SUM(1924*48)</f>
        <v>92352</v>
      </c>
      <c r="J10" s="36">
        <f t="shared" si="0"/>
        <v>4.7070336391437309</v>
      </c>
      <c r="K10" s="34"/>
      <c r="L10" s="31"/>
      <c r="M10" s="39">
        <f>SUM(135.4*20.3/100*70)</f>
        <v>1924.0340000000003</v>
      </c>
      <c r="N10" s="167">
        <f>SUM(1924*48)</f>
        <v>92352</v>
      </c>
    </row>
    <row r="11" spans="1:14" ht="15" customHeight="1" x14ac:dyDescent="0.25">
      <c r="A11" s="38"/>
      <c r="B11" s="175"/>
      <c r="C11" s="176"/>
      <c r="D11" s="179" t="s">
        <v>166</v>
      </c>
      <c r="E11" s="180"/>
      <c r="F11" s="180"/>
      <c r="G11" s="35">
        <v>70</v>
      </c>
      <c r="H11" s="149" t="s">
        <v>191</v>
      </c>
      <c r="I11" s="39">
        <f>SUM(1465.05*48)</f>
        <v>70322.399999999994</v>
      </c>
      <c r="J11" s="36">
        <f t="shared" si="0"/>
        <v>3.5842201834862384</v>
      </c>
      <c r="K11" s="34"/>
      <c r="L11" s="31"/>
      <c r="M11" s="39">
        <f>SUM(103.1*20.3/100*70)</f>
        <v>1465.0509999999999</v>
      </c>
      <c r="N11" s="167">
        <f>SUM(1465.05*48)</f>
        <v>70322.399999999994</v>
      </c>
    </row>
    <row r="12" spans="1:14" ht="15" customHeight="1" x14ac:dyDescent="0.25">
      <c r="A12" s="38"/>
      <c r="B12" s="175"/>
      <c r="C12" s="176"/>
      <c r="D12" s="179" t="s">
        <v>167</v>
      </c>
      <c r="E12" s="180"/>
      <c r="F12" s="180"/>
      <c r="G12" s="35">
        <v>70</v>
      </c>
      <c r="H12" s="149" t="s">
        <v>192</v>
      </c>
      <c r="I12" s="39">
        <v>67730.44</v>
      </c>
      <c r="J12" s="36">
        <f t="shared" si="0"/>
        <v>3.4521121304791031</v>
      </c>
      <c r="K12" s="34"/>
      <c r="L12" s="31"/>
      <c r="M12" s="39">
        <f>SUM(99.3*20.3/100*70)</f>
        <v>1411.0529999999999</v>
      </c>
      <c r="N12" s="167">
        <v>67730.44</v>
      </c>
    </row>
    <row r="13" spans="1:14" ht="15" x14ac:dyDescent="0.25">
      <c r="A13" s="38"/>
      <c r="B13" s="175"/>
      <c r="C13" s="176"/>
      <c r="D13" s="181" t="s">
        <v>168</v>
      </c>
      <c r="E13" s="182"/>
      <c r="F13" s="182"/>
      <c r="G13" s="35">
        <v>70</v>
      </c>
      <c r="H13" s="149" t="s">
        <v>222</v>
      </c>
      <c r="I13" s="39">
        <f>SUM(1932.4*48)</f>
        <v>92755.200000000012</v>
      </c>
      <c r="J13" s="36">
        <f t="shared" si="0"/>
        <v>4.727584097859328</v>
      </c>
      <c r="K13" s="34"/>
      <c r="L13" s="31"/>
      <c r="M13" s="39">
        <f>SUM(142.2978*19.4/100*70)</f>
        <v>1932.4041239999999</v>
      </c>
      <c r="N13" s="167">
        <f>SUM(1932.4*48)</f>
        <v>92755.200000000012</v>
      </c>
    </row>
    <row r="14" spans="1:14" ht="15" x14ac:dyDescent="0.25">
      <c r="A14" s="38"/>
      <c r="B14" s="175"/>
      <c r="C14" s="176"/>
      <c r="D14" s="181" t="s">
        <v>169</v>
      </c>
      <c r="E14" s="182"/>
      <c r="F14" s="182"/>
      <c r="G14" s="35">
        <v>70</v>
      </c>
      <c r="H14" s="149" t="s">
        <v>221</v>
      </c>
      <c r="I14" s="39">
        <f>SUM(1386.5*48)</f>
        <v>66552</v>
      </c>
      <c r="J14" s="36">
        <f t="shared" si="0"/>
        <v>3.3920489296636087</v>
      </c>
      <c r="K14" s="34"/>
      <c r="L14" s="31"/>
      <c r="M14" s="39">
        <f>SUM(102.0989*19.4/100*70)</f>
        <v>1386.5030619999998</v>
      </c>
      <c r="N14" s="167">
        <f>SUM(1386.5*48)</f>
        <v>66552</v>
      </c>
    </row>
    <row r="15" spans="1:14" ht="15" x14ac:dyDescent="0.25">
      <c r="A15" s="38"/>
      <c r="B15" s="175"/>
      <c r="C15" s="176"/>
      <c r="D15" s="181" t="s">
        <v>170</v>
      </c>
      <c r="E15" s="182"/>
      <c r="F15" s="182"/>
      <c r="G15" s="35">
        <v>70</v>
      </c>
      <c r="H15" s="149" t="s">
        <v>223</v>
      </c>
      <c r="I15" s="39">
        <f>SUM(1552.1*48)</f>
        <v>74500.799999999988</v>
      </c>
      <c r="J15" s="36">
        <f t="shared" si="0"/>
        <v>3.797186544342507</v>
      </c>
      <c r="K15" s="34"/>
      <c r="L15" s="31"/>
      <c r="M15" s="39">
        <v>1552.1</v>
      </c>
      <c r="N15" s="167">
        <f>SUM(1552.1*48)</f>
        <v>74500.799999999988</v>
      </c>
    </row>
    <row r="16" spans="1:14" ht="15" x14ac:dyDescent="0.25">
      <c r="A16" s="38"/>
      <c r="B16" s="175"/>
      <c r="C16" s="176"/>
      <c r="D16" s="181" t="s">
        <v>171</v>
      </c>
      <c r="E16" s="182"/>
      <c r="F16" s="182"/>
      <c r="G16" s="35">
        <v>70</v>
      </c>
      <c r="H16" s="149" t="s">
        <v>228</v>
      </c>
      <c r="I16" s="167">
        <f>SUM(1905.3*48)</f>
        <v>91454.399999999994</v>
      </c>
      <c r="J16" s="36">
        <f t="shared" si="0"/>
        <v>4.6612844036697245</v>
      </c>
      <c r="K16" s="34"/>
      <c r="L16" s="31"/>
      <c r="M16" s="167">
        <v>1905.3</v>
      </c>
      <c r="N16" s="167">
        <f>SUM(1905.3*48)</f>
        <v>91454.399999999994</v>
      </c>
    </row>
    <row r="17" spans="1:14" ht="15" x14ac:dyDescent="0.25">
      <c r="A17" s="38"/>
      <c r="B17" s="175"/>
      <c r="C17" s="176"/>
      <c r="D17" s="181" t="s">
        <v>172</v>
      </c>
      <c r="E17" s="182"/>
      <c r="F17" s="182"/>
      <c r="G17" s="35">
        <v>70</v>
      </c>
      <c r="H17" s="149" t="s">
        <v>229</v>
      </c>
      <c r="I17" s="39">
        <f>SUM(1475.9*48)</f>
        <v>70843.200000000012</v>
      </c>
      <c r="J17" s="36">
        <f t="shared" si="0"/>
        <v>3.6107645259938845</v>
      </c>
      <c r="K17" s="34"/>
      <c r="L17" s="31"/>
      <c r="M17" s="39">
        <v>1475.9</v>
      </c>
      <c r="N17" s="167">
        <f>SUM(1475.9*48)</f>
        <v>70843.200000000012</v>
      </c>
    </row>
    <row r="18" spans="1:14" ht="15" x14ac:dyDescent="0.25">
      <c r="A18" s="38"/>
      <c r="B18" s="175"/>
      <c r="C18" s="176"/>
      <c r="D18" s="181" t="s">
        <v>173</v>
      </c>
      <c r="E18" s="182"/>
      <c r="F18" s="182"/>
      <c r="G18" s="35">
        <v>70</v>
      </c>
      <c r="H18" s="149" t="s">
        <v>224</v>
      </c>
      <c r="I18" s="39">
        <f>SUM(1292.8*48)</f>
        <v>62054.399999999994</v>
      </c>
      <c r="J18" s="36">
        <f t="shared" si="0"/>
        <v>3.1628134556574921</v>
      </c>
      <c r="K18" s="34"/>
      <c r="L18" s="31"/>
      <c r="M18" s="39">
        <f>1292.8</f>
        <v>1292.8</v>
      </c>
      <c r="N18" s="167">
        <f>SUM(1292.8*48)</f>
        <v>62054.399999999994</v>
      </c>
    </row>
    <row r="19" spans="1:14" ht="15" x14ac:dyDescent="0.25">
      <c r="A19" s="38"/>
      <c r="B19" s="175"/>
      <c r="C19" s="176"/>
      <c r="D19" s="181" t="s">
        <v>174</v>
      </c>
      <c r="E19" s="182"/>
      <c r="F19" s="182"/>
      <c r="G19" s="35">
        <v>70</v>
      </c>
      <c r="H19" s="149" t="s">
        <v>225</v>
      </c>
      <c r="I19" s="39">
        <v>66420</v>
      </c>
      <c r="J19" s="36">
        <f t="shared" si="0"/>
        <v>3.3853211009174311</v>
      </c>
      <c r="K19" s="34"/>
      <c r="L19" s="31"/>
      <c r="M19" s="39">
        <f>SUM(101.8964*19.4/100*70)</f>
        <v>1383.7531119999999</v>
      </c>
      <c r="N19" s="167">
        <v>66420</v>
      </c>
    </row>
    <row r="20" spans="1:14" ht="15" x14ac:dyDescent="0.25">
      <c r="A20" s="38"/>
      <c r="B20" s="175"/>
      <c r="C20" s="176"/>
      <c r="D20" s="179" t="s">
        <v>175</v>
      </c>
      <c r="E20" s="180"/>
      <c r="F20" s="180"/>
      <c r="G20" s="35">
        <v>70</v>
      </c>
      <c r="H20" s="150" t="s">
        <v>226</v>
      </c>
      <c r="I20" s="39">
        <v>77864.960000000006</v>
      </c>
      <c r="J20" s="36">
        <f t="shared" si="0"/>
        <v>3.968652395514781</v>
      </c>
      <c r="K20" s="34"/>
      <c r="L20" s="31"/>
      <c r="M20" s="39">
        <f>SUM(119.4538*19.4/100*70)</f>
        <v>1622.1826039999999</v>
      </c>
      <c r="N20" s="167">
        <v>77864.960000000006</v>
      </c>
    </row>
    <row r="21" spans="1:14" ht="15" x14ac:dyDescent="0.25">
      <c r="A21" s="38"/>
      <c r="B21" s="175"/>
      <c r="C21" s="176"/>
      <c r="D21" s="181" t="s">
        <v>231</v>
      </c>
      <c r="E21" s="182"/>
      <c r="F21" s="182"/>
      <c r="G21" s="35">
        <v>70</v>
      </c>
      <c r="H21" s="150" t="s">
        <v>193</v>
      </c>
      <c r="I21" s="39">
        <f>SUM(1605.16*48)</f>
        <v>77047.680000000008</v>
      </c>
      <c r="J21" s="36">
        <f t="shared" si="0"/>
        <v>3.9269969418960247</v>
      </c>
      <c r="K21" s="34"/>
      <c r="L21" s="31"/>
      <c r="M21" s="39">
        <f>SUM(118.2*19.4/100*70)</f>
        <v>1605.1559999999999</v>
      </c>
      <c r="N21" s="167">
        <f>SUM(1605.16*48)</f>
        <v>77047.680000000008</v>
      </c>
    </row>
    <row r="22" spans="1:14" ht="15" customHeight="1" x14ac:dyDescent="0.25">
      <c r="A22" s="38"/>
      <c r="B22" s="175"/>
      <c r="C22" s="176"/>
      <c r="D22" s="181" t="s">
        <v>163</v>
      </c>
      <c r="E22" s="182"/>
      <c r="F22" s="182"/>
      <c r="G22" s="35">
        <v>70</v>
      </c>
      <c r="H22" s="150" t="s">
        <v>194</v>
      </c>
      <c r="I22" s="39">
        <f>SUM(1951.45*48)</f>
        <v>93669.6</v>
      </c>
      <c r="J22" s="36">
        <f t="shared" si="0"/>
        <v>4.7741896024464836</v>
      </c>
      <c r="K22" s="34"/>
      <c r="L22" s="31"/>
      <c r="M22" s="39">
        <f>SUM(143.7*19.4/100*70)</f>
        <v>1951.4459999999997</v>
      </c>
      <c r="N22" s="167">
        <f>SUM(1951.45*48)</f>
        <v>93669.6</v>
      </c>
    </row>
    <row r="23" spans="1:14" ht="15" customHeight="1" x14ac:dyDescent="0.25">
      <c r="A23" s="38"/>
      <c r="B23" s="175"/>
      <c r="C23" s="176"/>
      <c r="D23" s="181" t="s">
        <v>176</v>
      </c>
      <c r="E23" s="182"/>
      <c r="F23" s="182"/>
      <c r="G23" s="35">
        <v>70</v>
      </c>
      <c r="H23" s="150" t="s">
        <v>195</v>
      </c>
      <c r="I23" s="39">
        <f>SUM(1378.37*48)</f>
        <v>66161.759999999995</v>
      </c>
      <c r="J23" s="36">
        <f t="shared" si="0"/>
        <v>3.3721590214067274</v>
      </c>
      <c r="K23" s="34"/>
      <c r="L23" s="31"/>
      <c r="M23" s="39">
        <f>SUM(101.5*19.4/100*70)</f>
        <v>1378.37</v>
      </c>
      <c r="N23" s="167">
        <f>SUM(1378.37*48)</f>
        <v>66161.759999999995</v>
      </c>
    </row>
    <row r="24" spans="1:14" ht="15" customHeight="1" x14ac:dyDescent="0.25">
      <c r="A24" s="38"/>
      <c r="B24" s="175"/>
      <c r="C24" s="176"/>
      <c r="D24" s="181" t="s">
        <v>177</v>
      </c>
      <c r="E24" s="182"/>
      <c r="F24" s="182"/>
      <c r="G24" s="35">
        <v>70</v>
      </c>
      <c r="H24" s="150" t="s">
        <v>196</v>
      </c>
      <c r="I24" s="39">
        <f>SUM(1408.25*48)</f>
        <v>67596</v>
      </c>
      <c r="J24" s="36">
        <f t="shared" si="0"/>
        <v>3.4452599388379204</v>
      </c>
      <c r="K24" s="34"/>
      <c r="L24" s="31"/>
      <c r="M24" s="39">
        <f>SUM(103.7*19.4/100*70)</f>
        <v>1408.2459999999999</v>
      </c>
      <c r="N24" s="167">
        <f>SUM(1408.25*48)</f>
        <v>67596</v>
      </c>
    </row>
    <row r="25" spans="1:14" ht="15" customHeight="1" x14ac:dyDescent="0.25">
      <c r="A25" s="38"/>
      <c r="B25" s="175"/>
      <c r="C25" s="176"/>
      <c r="D25" s="179" t="s">
        <v>178</v>
      </c>
      <c r="E25" s="180"/>
      <c r="F25" s="180"/>
      <c r="G25" s="35">
        <v>70</v>
      </c>
      <c r="H25" s="150" t="s">
        <v>197</v>
      </c>
      <c r="I25" s="39">
        <f>SUM(3163.1*48)</f>
        <v>151828.79999999999</v>
      </c>
      <c r="J25" s="36">
        <f t="shared" si="0"/>
        <v>7.7384709480122318</v>
      </c>
      <c r="K25" s="34"/>
      <c r="L25" s="31"/>
      <c r="M25" s="39">
        <f>SUM(156.9*28.8/100*70)</f>
        <v>3163.1040000000003</v>
      </c>
      <c r="N25" s="167">
        <f>SUM(3163.1*48)</f>
        <v>151828.79999999999</v>
      </c>
    </row>
    <row r="26" spans="1:14" ht="15" customHeight="1" x14ac:dyDescent="0.25">
      <c r="A26" s="95"/>
      <c r="B26" s="175"/>
      <c r="C26" s="176"/>
      <c r="D26" s="179" t="s">
        <v>179</v>
      </c>
      <c r="E26" s="180"/>
      <c r="F26" s="180"/>
      <c r="G26" s="35">
        <v>70</v>
      </c>
      <c r="H26" s="150" t="s">
        <v>198</v>
      </c>
      <c r="I26" s="39">
        <f>SUM(2608.7*48)</f>
        <v>125217.59999999999</v>
      </c>
      <c r="J26" s="36">
        <f t="shared" si="0"/>
        <v>6.3821406727828744</v>
      </c>
      <c r="K26" s="34"/>
      <c r="L26" s="31"/>
      <c r="M26" s="39">
        <f>SUM(129.4*28.8/100*70)</f>
        <v>2608.7040000000002</v>
      </c>
      <c r="N26" s="167">
        <f>SUM(2608.7*48)</f>
        <v>125217.59999999999</v>
      </c>
    </row>
    <row r="27" spans="1:14" ht="15" customHeight="1" x14ac:dyDescent="0.25">
      <c r="A27" s="95"/>
      <c r="B27" s="175"/>
      <c r="C27" s="176"/>
      <c r="D27" s="179" t="s">
        <v>180</v>
      </c>
      <c r="E27" s="180"/>
      <c r="F27" s="180"/>
      <c r="G27" s="35">
        <v>70</v>
      </c>
      <c r="H27" s="150" t="s">
        <v>227</v>
      </c>
      <c r="I27" s="166">
        <f>SUM(3002.1217*48)</f>
        <v>144101.84160000001</v>
      </c>
      <c r="J27" s="36">
        <f t="shared" si="0"/>
        <v>7.3446402446483185</v>
      </c>
      <c r="K27" s="34"/>
      <c r="L27" s="31"/>
      <c r="M27" s="39">
        <v>3002.12</v>
      </c>
      <c r="N27" s="167">
        <v>144101.84</v>
      </c>
    </row>
    <row r="28" spans="1:14" ht="15" customHeight="1" x14ac:dyDescent="0.25">
      <c r="A28" s="95"/>
      <c r="B28" s="175"/>
      <c r="C28" s="176"/>
      <c r="D28" s="179" t="s">
        <v>181</v>
      </c>
      <c r="E28" s="180"/>
      <c r="F28" s="180"/>
      <c r="G28" s="35">
        <v>70</v>
      </c>
      <c r="H28" s="150" t="s">
        <v>199</v>
      </c>
      <c r="I28" s="39">
        <f>SUM(2145.02*48)</f>
        <v>102960.95999999999</v>
      </c>
      <c r="J28" s="36">
        <f t="shared" si="0"/>
        <v>5.2477553516819571</v>
      </c>
      <c r="K28" s="34"/>
      <c r="L28" s="31"/>
      <c r="M28" s="39">
        <f>SUM(106.4*28.8/100*70)</f>
        <v>2145.0239999999999</v>
      </c>
      <c r="N28" s="167">
        <f>SUM(2145.02*48)</f>
        <v>102960.95999999999</v>
      </c>
    </row>
    <row r="29" spans="1:14" ht="15" customHeight="1" x14ac:dyDescent="0.25">
      <c r="A29" s="95"/>
      <c r="B29" s="175"/>
      <c r="C29" s="176"/>
      <c r="D29" s="179" t="s">
        <v>182</v>
      </c>
      <c r="E29" s="180"/>
      <c r="F29" s="180"/>
      <c r="G29" s="35">
        <v>70</v>
      </c>
      <c r="H29" s="150" t="s">
        <v>200</v>
      </c>
      <c r="I29" s="39">
        <f>SUM(2185.34*48)</f>
        <v>104896.32000000001</v>
      </c>
      <c r="J29" s="36">
        <f t="shared" si="0"/>
        <v>5.3463975535168196</v>
      </c>
      <c r="K29" s="34"/>
      <c r="L29" s="31"/>
      <c r="M29" s="39">
        <f>SUM(108.4*28.8/100*70)</f>
        <v>2185.3440000000001</v>
      </c>
      <c r="N29" s="167">
        <f>SUM(2185.34*48)</f>
        <v>104896.32000000001</v>
      </c>
    </row>
    <row r="30" spans="1:14" ht="15" customHeight="1" x14ac:dyDescent="0.25">
      <c r="A30" s="95"/>
      <c r="B30" s="175"/>
      <c r="C30" s="176"/>
      <c r="D30" s="179" t="s">
        <v>183</v>
      </c>
      <c r="E30" s="180"/>
      <c r="F30" s="180"/>
      <c r="G30" s="35">
        <v>70</v>
      </c>
      <c r="H30" s="150" t="s">
        <v>201</v>
      </c>
      <c r="I30" s="39">
        <f>SUM(2679.26*48)</f>
        <v>128604.48000000001</v>
      </c>
      <c r="J30" s="36">
        <f t="shared" si="0"/>
        <v>6.5547645259938845</v>
      </c>
      <c r="K30" s="34"/>
      <c r="L30" s="31"/>
      <c r="M30" s="39">
        <f>SUM(132.9*28.8/100*70)</f>
        <v>2679.2640000000006</v>
      </c>
      <c r="N30" s="167">
        <f>SUM(2679.26*48)</f>
        <v>128604.48000000001</v>
      </c>
    </row>
    <row r="31" spans="1:14" ht="15" customHeight="1" x14ac:dyDescent="0.25">
      <c r="A31" s="95"/>
      <c r="B31" s="175"/>
      <c r="C31" s="176"/>
      <c r="D31" s="179" t="s">
        <v>209</v>
      </c>
      <c r="E31" s="180"/>
      <c r="F31" s="180"/>
      <c r="G31" s="35">
        <v>70</v>
      </c>
      <c r="H31" s="151" t="s">
        <v>202</v>
      </c>
      <c r="I31" s="167">
        <f>SUM(2532.4517*48)</f>
        <v>121557.68160000001</v>
      </c>
      <c r="J31" s="36">
        <f t="shared" si="0"/>
        <v>6.1956004892966368</v>
      </c>
      <c r="K31" s="156" t="s">
        <v>213</v>
      </c>
      <c r="L31" s="157" t="s">
        <v>214</v>
      </c>
      <c r="M31" s="39">
        <f>SUM(139.683*25.9/100*70)</f>
        <v>2532.4527900000003</v>
      </c>
      <c r="N31" s="167">
        <f>121557.68</f>
        <v>121557.68</v>
      </c>
    </row>
    <row r="32" spans="1:14" ht="15" customHeight="1" x14ac:dyDescent="0.25">
      <c r="A32" s="95"/>
      <c r="B32" s="175"/>
      <c r="C32" s="176"/>
      <c r="D32" s="183" t="s">
        <v>184</v>
      </c>
      <c r="E32" s="184"/>
      <c r="F32" s="184"/>
      <c r="G32" s="35">
        <v>70</v>
      </c>
      <c r="H32" s="151" t="s">
        <v>203</v>
      </c>
      <c r="I32" s="39">
        <f>SUM(2055.94*48)</f>
        <v>98685.119999999995</v>
      </c>
      <c r="J32" s="79">
        <f t="shared" si="0"/>
        <v>5.0298226299694191</v>
      </c>
      <c r="K32" s="40" t="s">
        <v>45</v>
      </c>
      <c r="L32" s="80" t="s">
        <v>215</v>
      </c>
      <c r="M32" s="39">
        <f>SUM(113.4*25.9/100*70)</f>
        <v>2055.942</v>
      </c>
      <c r="N32" s="167">
        <f>SUM(2055.94*48)</f>
        <v>98685.119999999995</v>
      </c>
    </row>
    <row r="33" spans="1:14" ht="15" customHeight="1" x14ac:dyDescent="0.25">
      <c r="A33" s="95"/>
      <c r="B33" s="175"/>
      <c r="C33" s="176"/>
      <c r="D33" s="183" t="s">
        <v>186</v>
      </c>
      <c r="E33" s="184"/>
      <c r="F33" s="184"/>
      <c r="G33" s="35">
        <v>70</v>
      </c>
      <c r="H33" s="151" t="s">
        <v>204</v>
      </c>
      <c r="I33" s="39">
        <f>SUM(2115.77*48)</f>
        <v>101556.95999999999</v>
      </c>
      <c r="J33" s="79">
        <f t="shared" si="0"/>
        <v>5.1761957186544336</v>
      </c>
      <c r="K33" s="40" t="s">
        <v>46</v>
      </c>
      <c r="L33" s="80" t="s">
        <v>216</v>
      </c>
      <c r="M33" s="39">
        <f>SUM(116.7*25.9/100*70)</f>
        <v>2115.7709999999997</v>
      </c>
      <c r="N33" s="167">
        <f>SUM(2115.77*48)</f>
        <v>101556.95999999999</v>
      </c>
    </row>
    <row r="34" spans="1:14" ht="15" customHeight="1" x14ac:dyDescent="0.25">
      <c r="A34" s="95"/>
      <c r="B34" s="175"/>
      <c r="C34" s="176"/>
      <c r="D34" s="183" t="s">
        <v>185</v>
      </c>
      <c r="E34" s="184"/>
      <c r="F34" s="184"/>
      <c r="G34" s="35">
        <v>70</v>
      </c>
      <c r="H34" s="150" t="s">
        <v>205</v>
      </c>
      <c r="I34" s="39">
        <f>SUM(2804.73*48)</f>
        <v>134627.04</v>
      </c>
      <c r="J34" s="36">
        <f t="shared" si="0"/>
        <v>6.8617247706422022</v>
      </c>
      <c r="K34" s="73"/>
      <c r="L34" s="74"/>
      <c r="M34" s="39">
        <f>SUM(154.7*25.9/100*70)</f>
        <v>2804.7109999999998</v>
      </c>
      <c r="N34" s="39">
        <f>SUM(2804.73*48)</f>
        <v>134627.04</v>
      </c>
    </row>
    <row r="35" spans="1:14" ht="15" customHeight="1" x14ac:dyDescent="0.25">
      <c r="A35" s="95"/>
      <c r="B35" s="175"/>
      <c r="C35" s="176"/>
      <c r="D35" s="183" t="s">
        <v>187</v>
      </c>
      <c r="E35" s="184"/>
      <c r="F35" s="184"/>
      <c r="G35" s="35">
        <v>70</v>
      </c>
      <c r="H35" s="150" t="s">
        <v>206</v>
      </c>
      <c r="I35" s="39">
        <f>SUM(1970.73*48)</f>
        <v>94595.040000000008</v>
      </c>
      <c r="J35" s="36">
        <f t="shared" si="0"/>
        <v>4.8213577981651383</v>
      </c>
      <c r="K35" s="73"/>
      <c r="L35" s="74"/>
      <c r="M35" s="39">
        <f>SUM(108.7*25.9/100*70)</f>
        <v>1970.7309999999998</v>
      </c>
      <c r="N35" s="39">
        <f>SUM(1970.73*48)</f>
        <v>94595.040000000008</v>
      </c>
    </row>
    <row r="36" spans="1:14" ht="15" customHeight="1" x14ac:dyDescent="0.25">
      <c r="A36" s="101"/>
      <c r="B36" s="175"/>
      <c r="C36" s="176"/>
      <c r="D36" s="183" t="s">
        <v>210</v>
      </c>
      <c r="E36" s="184"/>
      <c r="F36" s="184"/>
      <c r="G36" s="35">
        <v>70</v>
      </c>
      <c r="H36" s="150" t="s">
        <v>207</v>
      </c>
      <c r="I36" s="39">
        <f>SUM(2277.13*48)</f>
        <v>109302.24</v>
      </c>
      <c r="J36" s="36">
        <f t="shared" si="0"/>
        <v>5.570960244648318</v>
      </c>
      <c r="K36" s="73"/>
      <c r="L36" s="74"/>
      <c r="M36" s="39">
        <f>SUM(125.6*25.9/100*70)</f>
        <v>2277.1279999999997</v>
      </c>
      <c r="N36" s="39">
        <f>SUM(2277.13*48)</f>
        <v>109302.24</v>
      </c>
    </row>
    <row r="37" spans="1:14" ht="15" customHeight="1" x14ac:dyDescent="0.25">
      <c r="A37" s="95"/>
      <c r="B37" s="175"/>
      <c r="C37" s="176"/>
      <c r="D37" s="183" t="s">
        <v>188</v>
      </c>
      <c r="E37" s="184"/>
      <c r="F37" s="184"/>
      <c r="G37" s="35">
        <v>70</v>
      </c>
      <c r="H37" s="150" t="s">
        <v>208</v>
      </c>
      <c r="I37" s="39">
        <f>SUM(1720.54*48)</f>
        <v>82585.919999999998</v>
      </c>
      <c r="J37" s="36">
        <f t="shared" si="0"/>
        <v>4.2092721712538221</v>
      </c>
      <c r="K37" s="73"/>
      <c r="L37" s="74"/>
      <c r="M37" s="39">
        <f>SUM(94.9*25.9/100*70)</f>
        <v>1720.5369999999998</v>
      </c>
      <c r="N37" s="39">
        <f>SUM(1720.54*48)</f>
        <v>82585.919999999998</v>
      </c>
    </row>
    <row r="38" spans="1:14" ht="15.75" x14ac:dyDescent="0.25">
      <c r="A38" s="34"/>
      <c r="B38" s="175"/>
      <c r="C38" s="176"/>
      <c r="D38" s="185" t="s">
        <v>47</v>
      </c>
      <c r="E38" s="186"/>
      <c r="F38" s="186"/>
      <c r="G38" s="186"/>
      <c r="H38" s="187"/>
      <c r="I38" s="106">
        <f>SUM(I7:I37)</f>
        <v>2895620.0032000011</v>
      </c>
      <c r="J38" s="106">
        <f>SUM(J7:J37)</f>
        <v>147.58511739041796</v>
      </c>
      <c r="K38" s="41"/>
      <c r="L38" s="31"/>
      <c r="M38" s="37"/>
      <c r="N38" s="81">
        <f>SUM(N7:N37)</f>
        <v>2895620.0000000009</v>
      </c>
    </row>
    <row r="39" spans="1:14" ht="15" customHeight="1" x14ac:dyDescent="0.25">
      <c r="A39" s="34"/>
      <c r="B39" s="175"/>
      <c r="C39" s="176"/>
      <c r="D39" s="179" t="s">
        <v>70</v>
      </c>
      <c r="E39" s="180"/>
      <c r="F39" s="180"/>
      <c r="G39" s="180"/>
      <c r="H39" s="188"/>
      <c r="I39" s="36"/>
      <c r="J39" s="34"/>
      <c r="K39" s="34"/>
      <c r="L39" s="31"/>
    </row>
    <row r="40" spans="1:14" ht="15" x14ac:dyDescent="0.25">
      <c r="A40" s="34"/>
      <c r="B40" s="177"/>
      <c r="C40" s="178"/>
      <c r="D40" s="196" t="s">
        <v>48</v>
      </c>
      <c r="E40" s="197"/>
      <c r="F40" s="197"/>
      <c r="G40" s="197"/>
      <c r="H40" s="198"/>
      <c r="I40" s="106">
        <f>SUM(I38)</f>
        <v>2895620.0032000011</v>
      </c>
      <c r="J40" s="42"/>
      <c r="K40" s="42"/>
      <c r="L40" s="31"/>
    </row>
    <row r="41" spans="1:14" ht="15" x14ac:dyDescent="0.25">
      <c r="A41" s="38"/>
      <c r="B41" s="43"/>
      <c r="C41" s="44"/>
      <c r="D41" s="199" t="s">
        <v>230</v>
      </c>
      <c r="E41" s="200"/>
      <c r="F41" s="200"/>
      <c r="G41" s="200"/>
      <c r="H41" s="201"/>
      <c r="I41" s="158">
        <f>SUM(J38)</f>
        <v>147.58511739041796</v>
      </c>
      <c r="J41" s="45"/>
      <c r="K41" s="45"/>
      <c r="L41" s="31"/>
    </row>
    <row r="42" spans="1:14" ht="15" x14ac:dyDescent="0.25">
      <c r="A42" s="38"/>
      <c r="B42" s="107"/>
      <c r="C42" s="107"/>
      <c r="D42" s="109" t="s">
        <v>211</v>
      </c>
      <c r="E42" s="109"/>
      <c r="F42" s="109"/>
      <c r="G42" s="109"/>
      <c r="H42" s="109"/>
      <c r="I42" s="110"/>
      <c r="J42" s="45"/>
      <c r="K42" s="45"/>
      <c r="L42" s="31"/>
    </row>
    <row r="43" spans="1:14" ht="15.75" x14ac:dyDescent="0.25">
      <c r="A43" s="46"/>
      <c r="B43" s="31"/>
      <c r="C43" s="193" t="s">
        <v>75</v>
      </c>
      <c r="D43" s="193"/>
      <c r="E43" s="103"/>
      <c r="F43" s="144" t="s">
        <v>76</v>
      </c>
      <c r="G43" s="190"/>
      <c r="H43" s="190"/>
      <c r="I43" s="206" t="s">
        <v>73</v>
      </c>
      <c r="J43" s="206"/>
      <c r="K43" s="31"/>
      <c r="L43" s="189" t="s">
        <v>77</v>
      </c>
      <c r="M43" s="189"/>
    </row>
    <row r="44" spans="1:14" ht="15" customHeight="1" x14ac:dyDescent="0.25">
      <c r="A44" s="47"/>
      <c r="B44" s="203"/>
      <c r="C44" s="203"/>
      <c r="D44" s="191"/>
      <c r="E44" s="191"/>
      <c r="F44" s="105"/>
      <c r="G44" s="192"/>
      <c r="H44" s="192"/>
      <c r="I44" s="104"/>
      <c r="J44" s="47"/>
      <c r="K44" s="47"/>
      <c r="L44" s="31"/>
      <c r="M44" s="108"/>
    </row>
    <row r="45" spans="1:14" ht="15.75" x14ac:dyDescent="0.25">
      <c r="A45" s="47"/>
      <c r="B45" s="203"/>
      <c r="C45" s="203"/>
      <c r="D45" s="204"/>
      <c r="E45" s="204"/>
      <c r="F45" s="204"/>
      <c r="G45" s="204"/>
      <c r="H45" s="48"/>
      <c r="I45" s="41"/>
      <c r="J45" s="47"/>
      <c r="K45" s="47"/>
      <c r="L45" s="31"/>
    </row>
    <row r="46" spans="1:14" ht="15.75" x14ac:dyDescent="0.25">
      <c r="A46" s="47"/>
      <c r="B46" s="203"/>
      <c r="C46" s="203"/>
      <c r="D46" s="204"/>
      <c r="E46" s="204"/>
      <c r="F46" s="204"/>
      <c r="G46" s="204"/>
      <c r="H46" s="49"/>
      <c r="I46" s="41"/>
      <c r="J46" s="47"/>
      <c r="K46" s="47"/>
      <c r="L46" s="31"/>
    </row>
    <row r="47" spans="1:14" ht="21" customHeight="1" x14ac:dyDescent="0.25">
      <c r="A47" s="47"/>
      <c r="B47" s="203"/>
      <c r="C47" s="203"/>
      <c r="D47" s="204"/>
      <c r="E47" s="205"/>
      <c r="F47" s="205"/>
      <c r="G47" s="205"/>
      <c r="H47" s="50"/>
      <c r="I47" s="41"/>
      <c r="J47" s="47"/>
      <c r="K47" s="47"/>
      <c r="L47" s="102"/>
    </row>
    <row r="48" spans="1:14" ht="21" customHeight="1" x14ac:dyDescent="0.25">
      <c r="A48" s="47"/>
      <c r="B48" s="96"/>
      <c r="C48" s="96"/>
      <c r="D48" s="204"/>
      <c r="E48" s="209"/>
      <c r="F48" s="209"/>
      <c r="G48" s="209"/>
      <c r="H48" s="50"/>
      <c r="I48" s="41"/>
      <c r="J48" s="47"/>
      <c r="K48" s="47"/>
      <c r="L48" s="31"/>
    </row>
    <row r="49" spans="1:12" ht="33" customHeight="1" x14ac:dyDescent="0.25">
      <c r="A49" s="47"/>
      <c r="B49" s="194"/>
      <c r="C49" s="194"/>
      <c r="D49" s="210"/>
      <c r="E49" s="211"/>
      <c r="F49" s="211"/>
      <c r="G49" s="211"/>
      <c r="H49" s="52"/>
      <c r="I49" s="53"/>
      <c r="J49" s="47"/>
      <c r="K49" s="47"/>
      <c r="L49" s="31"/>
    </row>
    <row r="50" spans="1:12" ht="15.75" x14ac:dyDescent="0.25">
      <c r="A50" s="47"/>
      <c r="B50" s="194"/>
      <c r="C50" s="194"/>
      <c r="D50" s="195"/>
      <c r="E50" s="195"/>
      <c r="F50" s="195"/>
      <c r="G50" s="195"/>
      <c r="H50" s="51"/>
      <c r="I50" s="54"/>
      <c r="J50" s="54"/>
      <c r="K50" s="54"/>
      <c r="L50" s="31"/>
    </row>
    <row r="51" spans="1:12" ht="15.75" x14ac:dyDescent="0.25">
      <c r="A51" s="47"/>
      <c r="B51" s="202"/>
      <c r="C51" s="202"/>
      <c r="D51" s="202"/>
      <c r="E51" s="202"/>
      <c r="F51" s="202"/>
      <c r="G51" s="202"/>
      <c r="H51" s="202"/>
      <c r="I51" s="202"/>
      <c r="J51" s="94"/>
      <c r="K51" s="94"/>
      <c r="L51" s="31"/>
    </row>
    <row r="52" spans="1:12" ht="15.75" x14ac:dyDescent="0.25">
      <c r="A52" s="47"/>
      <c r="B52" s="194"/>
      <c r="C52" s="194"/>
      <c r="D52" s="214"/>
      <c r="E52" s="214"/>
      <c r="F52" s="214"/>
      <c r="G52" s="214"/>
      <c r="H52" s="214"/>
      <c r="I52" s="32"/>
      <c r="J52" s="32"/>
      <c r="K52" s="32"/>
      <c r="L52" s="31"/>
    </row>
    <row r="53" spans="1:12" ht="15.75" x14ac:dyDescent="0.25">
      <c r="A53" s="47"/>
      <c r="B53" s="194"/>
      <c r="C53" s="194"/>
      <c r="D53" s="215"/>
      <c r="E53" s="215"/>
      <c r="F53" s="215"/>
      <c r="G53" s="215"/>
      <c r="H53" s="95"/>
      <c r="I53" s="88"/>
      <c r="J53" s="88"/>
      <c r="K53" s="88"/>
      <c r="L53" s="31"/>
    </row>
    <row r="54" spans="1:12" ht="15.75" x14ac:dyDescent="0.25">
      <c r="A54" s="47"/>
      <c r="B54" s="194"/>
      <c r="C54" s="194"/>
      <c r="D54" s="215"/>
      <c r="E54" s="215"/>
      <c r="F54" s="215"/>
      <c r="G54" s="215"/>
      <c r="H54" s="95"/>
      <c r="I54" s="38"/>
      <c r="J54" s="95"/>
      <c r="K54" s="95"/>
      <c r="L54" s="31"/>
    </row>
    <row r="55" spans="1:12" ht="15.75" x14ac:dyDescent="0.25">
      <c r="A55" s="47"/>
      <c r="B55" s="194"/>
      <c r="C55" s="194"/>
      <c r="D55" s="215"/>
      <c r="E55" s="215"/>
      <c r="F55" s="215"/>
      <c r="G55" s="215"/>
      <c r="H55" s="95"/>
      <c r="I55" s="38"/>
      <c r="J55" s="95"/>
      <c r="K55" s="95"/>
      <c r="L55" s="31"/>
    </row>
    <row r="56" spans="1:12" ht="15.75" x14ac:dyDescent="0.25">
      <c r="A56" s="47"/>
      <c r="B56" s="194"/>
      <c r="C56" s="194"/>
      <c r="D56" s="215"/>
      <c r="E56" s="215"/>
      <c r="F56" s="215"/>
      <c r="G56" s="215"/>
      <c r="H56" s="95"/>
      <c r="I56" s="38"/>
      <c r="J56" s="95"/>
      <c r="K56" s="95"/>
      <c r="L56" s="31"/>
    </row>
    <row r="57" spans="1:12" ht="15.75" x14ac:dyDescent="0.25">
      <c r="A57" s="47"/>
      <c r="B57" s="194"/>
      <c r="C57" s="194"/>
      <c r="D57" s="215"/>
      <c r="E57" s="215"/>
      <c r="F57" s="215"/>
      <c r="G57" s="215"/>
      <c r="H57" s="95"/>
      <c r="I57" s="38"/>
      <c r="J57" s="95"/>
      <c r="K57" s="95"/>
      <c r="L57" s="31"/>
    </row>
    <row r="58" spans="1:12" ht="15.75" x14ac:dyDescent="0.25">
      <c r="A58" s="47"/>
      <c r="B58" s="194"/>
      <c r="C58" s="194"/>
      <c r="D58" s="215"/>
      <c r="E58" s="215"/>
      <c r="F58" s="215"/>
      <c r="G58" s="215"/>
      <c r="H58" s="95"/>
      <c r="I58" s="38"/>
      <c r="J58" s="95"/>
      <c r="K58" s="95"/>
      <c r="L58" s="31"/>
    </row>
    <row r="59" spans="1:12" ht="15.75" x14ac:dyDescent="0.25">
      <c r="A59" s="47"/>
      <c r="B59" s="194"/>
      <c r="C59" s="194"/>
      <c r="D59" s="215"/>
      <c r="E59" s="215"/>
      <c r="F59" s="215"/>
      <c r="G59" s="215"/>
      <c r="H59" s="95"/>
      <c r="I59" s="38"/>
      <c r="J59" s="95"/>
      <c r="K59" s="95"/>
      <c r="L59" s="31"/>
    </row>
    <row r="60" spans="1:12" ht="15.75" x14ac:dyDescent="0.25">
      <c r="A60" s="47"/>
      <c r="B60" s="194"/>
      <c r="C60" s="194"/>
      <c r="D60" s="207"/>
      <c r="E60" s="207"/>
      <c r="F60" s="207"/>
      <c r="G60" s="207"/>
      <c r="H60" s="88"/>
      <c r="I60" s="55"/>
      <c r="J60" s="88"/>
      <c r="K60" s="88"/>
      <c r="L60" s="31"/>
    </row>
    <row r="61" spans="1:12" ht="15.75" x14ac:dyDescent="0.25">
      <c r="A61" s="47"/>
      <c r="B61" s="194"/>
      <c r="C61" s="194"/>
      <c r="D61" s="195"/>
      <c r="E61" s="195"/>
      <c r="F61" s="195"/>
      <c r="G61" s="195"/>
      <c r="H61" s="95"/>
      <c r="I61" s="88"/>
      <c r="J61" s="88"/>
      <c r="K61" s="88"/>
      <c r="L61" s="31"/>
    </row>
    <row r="62" spans="1:12" ht="15.75" x14ac:dyDescent="0.25">
      <c r="A62" s="31"/>
      <c r="B62" s="208"/>
      <c r="C62" s="208"/>
      <c r="D62" s="208"/>
      <c r="E62" s="208"/>
      <c r="F62" s="208"/>
      <c r="G62" s="208"/>
      <c r="H62" s="208"/>
      <c r="I62" s="208"/>
      <c r="J62" s="93"/>
      <c r="K62" s="93"/>
      <c r="L62" s="31"/>
    </row>
    <row r="63" spans="1:12" ht="15.75" x14ac:dyDescent="0.25">
      <c r="A63" s="47"/>
      <c r="B63" s="212"/>
      <c r="C63" s="212"/>
      <c r="D63" s="212"/>
      <c r="E63" s="212"/>
      <c r="F63" s="212"/>
      <c r="G63" s="213"/>
      <c r="H63" s="213"/>
      <c r="I63" s="32"/>
      <c r="J63" s="32"/>
      <c r="K63" s="32"/>
      <c r="L63" s="31"/>
    </row>
    <row r="64" spans="1:12" ht="30.75" customHeight="1" x14ac:dyDescent="0.25">
      <c r="A64" s="47"/>
      <c r="B64" s="220"/>
      <c r="C64" s="220"/>
      <c r="D64" s="191"/>
      <c r="E64" s="191"/>
      <c r="F64" s="57"/>
      <c r="G64" s="221"/>
      <c r="H64" s="221"/>
      <c r="I64" s="41"/>
      <c r="J64" s="47"/>
      <c r="K64" s="47"/>
      <c r="L64" s="31"/>
    </row>
    <row r="65" spans="1:12" ht="15.75" x14ac:dyDescent="0.25">
      <c r="A65" s="47"/>
      <c r="B65" s="220"/>
      <c r="C65" s="220"/>
      <c r="D65" s="214"/>
      <c r="E65" s="214"/>
      <c r="F65" s="57"/>
      <c r="G65" s="221"/>
      <c r="H65" s="221"/>
      <c r="I65" s="41"/>
      <c r="J65" s="47"/>
      <c r="K65" s="47"/>
      <c r="L65" s="31"/>
    </row>
    <row r="66" spans="1:12" ht="15.75" x14ac:dyDescent="0.25">
      <c r="A66" s="31"/>
      <c r="B66" s="220"/>
      <c r="C66" s="220"/>
      <c r="D66" s="214"/>
      <c r="E66" s="214"/>
      <c r="F66" s="57"/>
      <c r="G66" s="221"/>
      <c r="H66" s="221"/>
      <c r="I66" s="41"/>
      <c r="J66" s="47"/>
      <c r="K66" s="47"/>
      <c r="L66" s="31"/>
    </row>
    <row r="67" spans="1:12" ht="15.75" x14ac:dyDescent="0.25">
      <c r="A67" s="99"/>
      <c r="B67" s="220"/>
      <c r="C67" s="220"/>
      <c r="D67" s="214"/>
      <c r="E67" s="214"/>
      <c r="F67" s="57"/>
      <c r="G67" s="221"/>
      <c r="H67" s="221"/>
      <c r="I67" s="41"/>
      <c r="J67" s="47"/>
      <c r="K67" s="47"/>
      <c r="L67" s="31"/>
    </row>
    <row r="68" spans="1:12" ht="15.75" x14ac:dyDescent="0.25">
      <c r="A68" s="92"/>
      <c r="B68" s="85"/>
      <c r="C68" s="85"/>
      <c r="D68" s="58"/>
      <c r="E68" s="58"/>
      <c r="F68" s="59"/>
      <c r="G68" s="216"/>
      <c r="H68" s="217"/>
      <c r="I68" s="52"/>
      <c r="J68" s="89"/>
      <c r="K68" s="89"/>
      <c r="L68" s="31"/>
    </row>
    <row r="69" spans="1:12" ht="15.75" x14ac:dyDescent="0.25">
      <c r="A69" s="92"/>
      <c r="B69" s="85"/>
      <c r="C69" s="85"/>
      <c r="D69" s="195"/>
      <c r="E69" s="218"/>
      <c r="F69" s="218"/>
      <c r="G69" s="210"/>
      <c r="H69" s="219"/>
      <c r="I69" s="52"/>
      <c r="J69" s="89"/>
      <c r="K69" s="89"/>
      <c r="L69" s="31"/>
    </row>
    <row r="70" spans="1:12" ht="18.75" x14ac:dyDescent="0.3">
      <c r="A70" s="31"/>
      <c r="B70" s="85"/>
      <c r="C70" s="85"/>
      <c r="D70" s="58"/>
      <c r="E70" s="58"/>
      <c r="F70" s="87"/>
      <c r="G70" s="87"/>
      <c r="H70" s="31"/>
      <c r="I70" s="31"/>
      <c r="J70" s="31"/>
      <c r="K70" s="31"/>
      <c r="L70" s="31"/>
    </row>
    <row r="71" spans="1:12" ht="15.75" x14ac:dyDescent="0.25">
      <c r="A71" s="47"/>
      <c r="B71" s="212"/>
      <c r="C71" s="212"/>
      <c r="D71" s="212"/>
      <c r="E71" s="212"/>
      <c r="F71" s="212"/>
      <c r="G71" s="212"/>
      <c r="H71" s="212"/>
      <c r="I71" s="32"/>
      <c r="J71" s="32"/>
      <c r="K71" s="32"/>
      <c r="L71" s="31"/>
    </row>
    <row r="72" spans="1:12" ht="15.75" x14ac:dyDescent="0.25">
      <c r="A72" s="31"/>
      <c r="B72" s="228"/>
      <c r="C72" s="228"/>
      <c r="D72" s="229"/>
      <c r="E72" s="229"/>
      <c r="F72" s="229"/>
      <c r="G72" s="230"/>
      <c r="H72" s="230"/>
      <c r="I72" s="41"/>
      <c r="J72" s="47"/>
      <c r="K72" s="47"/>
      <c r="L72" s="31"/>
    </row>
    <row r="73" spans="1:12" ht="15.75" x14ac:dyDescent="0.25">
      <c r="A73" s="31"/>
      <c r="B73" s="90"/>
      <c r="C73" s="90"/>
      <c r="D73" s="195"/>
      <c r="E73" s="218"/>
      <c r="F73" s="218"/>
      <c r="G73" s="230"/>
      <c r="H73" s="230"/>
      <c r="I73" s="54"/>
      <c r="J73" s="54"/>
      <c r="K73" s="54"/>
      <c r="L73" s="31"/>
    </row>
    <row r="74" spans="1:12" ht="18.75" x14ac:dyDescent="0.3">
      <c r="A74" s="31"/>
      <c r="B74" s="85"/>
      <c r="C74" s="85"/>
      <c r="D74" s="58"/>
      <c r="E74" s="58"/>
      <c r="F74" s="87"/>
      <c r="G74" s="87"/>
      <c r="H74" s="31"/>
      <c r="I74" s="31"/>
      <c r="J74" s="31"/>
      <c r="K74" s="31"/>
      <c r="L74" s="31"/>
    </row>
    <row r="75" spans="1:12" ht="15.75" x14ac:dyDescent="0.25">
      <c r="A75" s="31"/>
      <c r="B75" s="212"/>
      <c r="C75" s="212"/>
      <c r="D75" s="212"/>
      <c r="E75" s="212"/>
      <c r="F75" s="212"/>
      <c r="G75" s="212"/>
      <c r="H75" s="212"/>
      <c r="I75" s="32"/>
      <c r="J75" s="32"/>
      <c r="K75" s="32"/>
      <c r="L75" s="31"/>
    </row>
    <row r="76" spans="1:12" ht="15.75" customHeight="1" x14ac:dyDescent="0.25">
      <c r="A76" s="31"/>
      <c r="B76" s="224"/>
      <c r="C76" s="225"/>
      <c r="D76" s="220"/>
      <c r="E76" s="220"/>
      <c r="F76" s="220"/>
      <c r="G76" s="220"/>
      <c r="H76" s="220"/>
      <c r="I76" s="32"/>
      <c r="J76" s="32"/>
      <c r="K76" s="32"/>
      <c r="L76" s="31"/>
    </row>
    <row r="77" spans="1:12" ht="15.75" x14ac:dyDescent="0.25">
      <c r="A77" s="31"/>
      <c r="B77" s="225"/>
      <c r="C77" s="225"/>
      <c r="D77" s="212"/>
      <c r="E77" s="212"/>
      <c r="F77" s="212"/>
      <c r="G77" s="212"/>
      <c r="H77" s="212"/>
      <c r="I77" s="61"/>
      <c r="J77" s="61"/>
      <c r="K77" s="61"/>
      <c r="L77" s="31"/>
    </row>
    <row r="78" spans="1:12" ht="15.75" x14ac:dyDescent="0.2">
      <c r="A78" s="31"/>
      <c r="B78" s="83"/>
      <c r="C78" s="83"/>
      <c r="D78" s="84"/>
      <c r="E78" s="84"/>
      <c r="F78" s="84"/>
      <c r="G78" s="60"/>
      <c r="H78" s="60"/>
      <c r="I78" s="31"/>
      <c r="J78" s="31"/>
      <c r="K78" s="31"/>
      <c r="L78" s="31"/>
    </row>
    <row r="79" spans="1:12" ht="15.75" x14ac:dyDescent="0.25">
      <c r="A79" s="31"/>
      <c r="B79" s="212"/>
      <c r="C79" s="212"/>
      <c r="D79" s="58"/>
      <c r="E79" s="58"/>
      <c r="F79" s="226"/>
      <c r="G79" s="226"/>
      <c r="H79" s="56"/>
      <c r="I79" s="31"/>
      <c r="J79" s="31"/>
      <c r="K79" s="31"/>
      <c r="L79" s="31"/>
    </row>
    <row r="80" spans="1:12" ht="15.75" x14ac:dyDescent="0.25">
      <c r="A80" s="31"/>
      <c r="B80" s="85"/>
      <c r="C80" s="85"/>
      <c r="D80" s="58"/>
      <c r="E80" s="58"/>
      <c r="F80" s="86"/>
      <c r="G80" s="86"/>
      <c r="H80" s="56"/>
      <c r="I80" s="31"/>
      <c r="J80" s="31"/>
      <c r="K80" s="31"/>
      <c r="L80" s="31"/>
    </row>
    <row r="81" spans="1:12" ht="15.75" x14ac:dyDescent="0.25">
      <c r="A81" s="63"/>
      <c r="B81" s="85"/>
      <c r="C81" s="85"/>
      <c r="D81" s="58"/>
      <c r="E81" s="58"/>
      <c r="F81" s="86"/>
      <c r="G81" s="86"/>
      <c r="H81" s="56"/>
      <c r="I81" s="31"/>
      <c r="J81" s="31"/>
      <c r="K81" s="31"/>
      <c r="L81" s="31"/>
    </row>
    <row r="82" spans="1:12" ht="15.75" x14ac:dyDescent="0.25">
      <c r="A82" s="71"/>
      <c r="B82" s="85"/>
      <c r="C82" s="85"/>
      <c r="D82" s="58"/>
      <c r="E82" s="58"/>
      <c r="F82" s="86"/>
      <c r="G82" s="86"/>
      <c r="H82" s="56"/>
      <c r="I82" s="31"/>
      <c r="J82" s="31"/>
      <c r="K82" s="31"/>
      <c r="L82" s="31"/>
    </row>
    <row r="83" spans="1:12" ht="15.75" x14ac:dyDescent="0.25">
      <c r="A83" s="64"/>
      <c r="B83" s="85"/>
      <c r="C83" s="85"/>
      <c r="D83" s="58"/>
      <c r="E83" s="58"/>
      <c r="F83" s="86"/>
      <c r="G83" s="86"/>
      <c r="H83" s="56"/>
      <c r="I83" s="31"/>
      <c r="J83" s="31"/>
      <c r="K83" s="31"/>
      <c r="L83" s="31"/>
    </row>
    <row r="84" spans="1:12" ht="15.75" x14ac:dyDescent="0.25">
      <c r="A84" s="91"/>
      <c r="B84" s="85"/>
      <c r="C84" s="85"/>
      <c r="D84" s="58"/>
      <c r="E84" s="58"/>
      <c r="F84" s="86"/>
      <c r="G84" s="86"/>
      <c r="H84" s="56"/>
      <c r="I84" s="31"/>
      <c r="J84" s="31"/>
      <c r="K84" s="31"/>
      <c r="L84" s="31"/>
    </row>
    <row r="85" spans="1:12" ht="18.75" x14ac:dyDescent="0.3">
      <c r="A85" s="65"/>
      <c r="B85" s="85"/>
      <c r="C85" s="85"/>
      <c r="D85" s="58"/>
      <c r="E85" s="58"/>
      <c r="F85" s="87"/>
      <c r="G85" s="87"/>
      <c r="H85" s="31"/>
      <c r="I85" s="31"/>
      <c r="J85" s="31"/>
      <c r="K85" s="31"/>
      <c r="L85" s="31"/>
    </row>
    <row r="86" spans="1:12" ht="18.75" x14ac:dyDescent="0.3">
      <c r="A86" s="66"/>
      <c r="B86" s="85"/>
      <c r="C86" s="85"/>
      <c r="D86" s="58"/>
      <c r="E86" s="58"/>
      <c r="F86" s="87"/>
      <c r="G86" s="87"/>
      <c r="H86" s="31"/>
      <c r="I86" s="31"/>
      <c r="J86" s="31"/>
      <c r="K86" s="31"/>
      <c r="L86" s="31"/>
    </row>
    <row r="87" spans="1:12" ht="18.75" x14ac:dyDescent="0.3">
      <c r="A87" s="67"/>
      <c r="B87" s="85"/>
      <c r="C87" s="85"/>
      <c r="D87" s="58"/>
      <c r="E87" s="58"/>
      <c r="F87" s="87"/>
      <c r="G87" s="87"/>
      <c r="H87" s="31"/>
      <c r="I87" s="31"/>
      <c r="J87" s="31"/>
      <c r="K87" s="31"/>
      <c r="L87" s="31"/>
    </row>
    <row r="88" spans="1:12" ht="18.75" x14ac:dyDescent="0.3">
      <c r="A88" s="67"/>
      <c r="B88" s="85"/>
      <c r="C88" s="85"/>
      <c r="D88" s="58"/>
      <c r="E88" s="58"/>
      <c r="F88" s="87"/>
      <c r="G88" s="87"/>
      <c r="H88" s="31"/>
      <c r="I88" s="31"/>
      <c r="J88" s="31"/>
      <c r="K88" s="31"/>
      <c r="L88" s="31"/>
    </row>
    <row r="89" spans="1:12" ht="18.75" x14ac:dyDescent="0.3">
      <c r="A89" s="67"/>
      <c r="B89" s="85"/>
      <c r="C89" s="85"/>
      <c r="D89" s="58"/>
      <c r="E89" s="58"/>
      <c r="F89" s="227"/>
      <c r="G89" s="227"/>
      <c r="H89" s="31"/>
      <c r="I89" s="31"/>
      <c r="J89" s="31"/>
      <c r="K89" s="31"/>
      <c r="L89" s="31"/>
    </row>
    <row r="90" spans="1:12" ht="23.25" customHeight="1" x14ac:dyDescent="0.3">
      <c r="A90" s="67"/>
      <c r="B90" s="85"/>
      <c r="C90" s="85"/>
      <c r="D90" s="58"/>
      <c r="E90" s="58"/>
      <c r="F90" s="222"/>
      <c r="G90" s="222"/>
      <c r="H90" s="222"/>
      <c r="I90" s="222"/>
      <c r="J90" s="222"/>
      <c r="K90" s="222"/>
      <c r="L90" s="31"/>
    </row>
    <row r="91" spans="1:12" ht="18.75" x14ac:dyDescent="0.3">
      <c r="A91" s="67"/>
      <c r="B91" s="85"/>
      <c r="C91" s="85"/>
      <c r="D91" s="58"/>
      <c r="E91" s="58"/>
      <c r="F91" s="62"/>
      <c r="G91" s="223"/>
      <c r="H91" s="223"/>
      <c r="I91" s="31"/>
      <c r="J91" s="31"/>
      <c r="K91" s="31"/>
      <c r="L91" s="31"/>
    </row>
    <row r="92" spans="1:12" ht="18.75" x14ac:dyDescent="0.3">
      <c r="A92" s="67"/>
      <c r="B92" s="85"/>
      <c r="C92" s="85"/>
      <c r="D92" s="58"/>
      <c r="E92" s="58"/>
      <c r="F92" s="87"/>
      <c r="G92" s="87"/>
      <c r="H92" s="31"/>
      <c r="I92" s="31"/>
      <c r="J92" s="31"/>
      <c r="K92" s="31"/>
      <c r="L92" s="31"/>
    </row>
    <row r="93" spans="1:12" ht="18.75" x14ac:dyDescent="0.3">
      <c r="A93" s="68"/>
      <c r="B93" s="85"/>
      <c r="C93" s="85"/>
      <c r="D93" s="58"/>
      <c r="E93" s="58"/>
      <c r="F93" s="87"/>
      <c r="G93" s="87"/>
      <c r="H93" s="31"/>
      <c r="I93" s="31"/>
      <c r="J93" s="31"/>
      <c r="K93" s="31"/>
      <c r="L93" s="31"/>
    </row>
    <row r="94" spans="1:12" ht="18.75" x14ac:dyDescent="0.3">
      <c r="A94" s="68"/>
      <c r="B94" s="85"/>
      <c r="C94" s="85"/>
      <c r="D94" s="58"/>
      <c r="E94" s="58"/>
      <c r="F94" s="87"/>
      <c r="G94" s="87"/>
      <c r="H94" s="31"/>
      <c r="I94" s="31"/>
      <c r="J94" s="31"/>
      <c r="K94" s="31"/>
      <c r="L94" s="31"/>
    </row>
    <row r="95" spans="1:12" ht="18.75" x14ac:dyDescent="0.3">
      <c r="A95" s="68"/>
      <c r="B95" s="85"/>
      <c r="C95" s="85"/>
      <c r="D95" s="58"/>
      <c r="E95" s="58"/>
      <c r="F95" s="87"/>
      <c r="G95" s="87"/>
      <c r="H95" s="31"/>
      <c r="I95" s="31"/>
      <c r="J95" s="31"/>
      <c r="K95" s="31"/>
      <c r="L95" s="31"/>
    </row>
    <row r="96" spans="1:12" ht="18.75" x14ac:dyDescent="0.3">
      <c r="A96" s="68"/>
      <c r="B96" s="85"/>
      <c r="C96" s="85"/>
      <c r="D96" s="58"/>
      <c r="E96" s="58"/>
      <c r="F96" s="87"/>
      <c r="G96" s="87"/>
      <c r="H96" s="31"/>
      <c r="I96" s="31"/>
      <c r="J96" s="31"/>
      <c r="K96" s="31"/>
      <c r="L96" s="31"/>
    </row>
    <row r="97" spans="1:12" ht="18.75" x14ac:dyDescent="0.3">
      <c r="A97" s="70"/>
      <c r="B97" s="85"/>
      <c r="C97" s="85"/>
      <c r="D97" s="58"/>
      <c r="E97" s="58"/>
      <c r="F97" s="87"/>
      <c r="G97" s="87"/>
      <c r="H97" s="31"/>
      <c r="I97" s="31"/>
      <c r="J97" s="31"/>
      <c r="K97" s="31"/>
      <c r="L97" s="31"/>
    </row>
    <row r="98" spans="1:12" ht="18.75" x14ac:dyDescent="0.3">
      <c r="A98" s="69"/>
      <c r="B98" s="85"/>
      <c r="C98" s="85"/>
      <c r="D98" s="58"/>
      <c r="E98" s="58"/>
      <c r="F98" s="87"/>
      <c r="G98" s="87"/>
      <c r="H98" s="31"/>
      <c r="I98" s="31"/>
      <c r="J98" s="31"/>
      <c r="K98" s="31"/>
      <c r="L98" s="31"/>
    </row>
    <row r="99" spans="1:12" ht="18.75" x14ac:dyDescent="0.3">
      <c r="A99" s="63"/>
      <c r="B99" s="85"/>
      <c r="C99" s="85"/>
      <c r="D99" s="58"/>
      <c r="E99" s="58"/>
      <c r="F99" s="87"/>
      <c r="G99" s="87"/>
      <c r="H99" s="31"/>
      <c r="I99" s="31"/>
      <c r="J99" s="31"/>
      <c r="K99" s="31"/>
      <c r="L99" s="31"/>
    </row>
    <row r="100" spans="1:12" ht="18.75" x14ac:dyDescent="0.3">
      <c r="A100" s="31"/>
      <c r="B100" s="85"/>
      <c r="C100" s="85"/>
      <c r="D100" s="58"/>
      <c r="E100" s="58"/>
      <c r="F100" s="87"/>
      <c r="G100" s="87"/>
      <c r="H100" s="31"/>
      <c r="I100" s="31"/>
      <c r="J100" s="31"/>
      <c r="K100" s="31"/>
      <c r="L100" s="31"/>
    </row>
    <row r="101" spans="1:12" ht="18.75" customHeight="1" x14ac:dyDescent="0.3">
      <c r="A101" s="31"/>
      <c r="B101" s="85"/>
      <c r="C101" s="85"/>
      <c r="D101" s="58"/>
      <c r="E101" s="58"/>
      <c r="F101" s="87"/>
      <c r="G101" s="87"/>
      <c r="H101" s="31"/>
      <c r="I101" s="31"/>
      <c r="J101" s="31"/>
      <c r="K101" s="31"/>
      <c r="L101" s="31"/>
    </row>
    <row r="102" spans="1:12" ht="18.75" customHeight="1" x14ac:dyDescent="0.3">
      <c r="A102" s="31"/>
      <c r="B102" s="85"/>
      <c r="C102" s="85"/>
      <c r="D102" s="58"/>
      <c r="E102" s="58"/>
      <c r="F102" s="87"/>
      <c r="G102" s="87"/>
      <c r="H102" s="31"/>
      <c r="I102" s="31"/>
      <c r="J102" s="31"/>
      <c r="K102" s="31"/>
      <c r="L102" s="31"/>
    </row>
    <row r="103" spans="1:12" ht="18.75" customHeight="1" x14ac:dyDescent="0.3">
      <c r="A103" s="31"/>
      <c r="B103" s="85"/>
      <c r="C103" s="85"/>
      <c r="D103" s="58"/>
      <c r="E103" s="58"/>
      <c r="F103" s="87"/>
      <c r="G103" s="87"/>
      <c r="H103" s="31"/>
      <c r="I103" s="31"/>
      <c r="J103" s="31"/>
      <c r="K103" s="31"/>
      <c r="L103" s="31"/>
    </row>
    <row r="104" spans="1:12" ht="18.75" customHeight="1" x14ac:dyDescent="0.3">
      <c r="A104" s="31"/>
      <c r="B104" s="85"/>
      <c r="C104" s="85"/>
      <c r="D104" s="58"/>
      <c r="E104" s="58"/>
      <c r="F104" s="87"/>
      <c r="G104" s="87"/>
      <c r="H104" s="31"/>
      <c r="I104" s="31"/>
      <c r="J104" s="31"/>
      <c r="K104" s="31"/>
      <c r="L104" s="31"/>
    </row>
    <row r="105" spans="1:12" ht="18.75" x14ac:dyDescent="0.3">
      <c r="A105" s="31"/>
      <c r="B105" s="85"/>
      <c r="C105" s="85"/>
      <c r="D105" s="58"/>
      <c r="E105" s="58"/>
      <c r="F105" s="87"/>
      <c r="G105" s="87"/>
      <c r="H105" s="31"/>
      <c r="I105" s="31"/>
      <c r="J105" s="31"/>
      <c r="K105" s="31"/>
      <c r="L105" s="31"/>
    </row>
    <row r="106" spans="1:12" ht="56.25" customHeight="1" x14ac:dyDescent="0.3">
      <c r="A106" s="31"/>
      <c r="B106" s="85"/>
      <c r="C106" s="85"/>
      <c r="D106" s="58"/>
      <c r="E106" s="58"/>
      <c r="F106" s="87"/>
      <c r="G106" s="87"/>
      <c r="H106" s="31"/>
      <c r="I106" s="31"/>
      <c r="J106" s="31"/>
      <c r="K106" s="31"/>
      <c r="L106" s="31"/>
    </row>
    <row r="107" spans="1:12" ht="18.75" x14ac:dyDescent="0.3">
      <c r="A107" s="31"/>
      <c r="B107" s="85"/>
      <c r="C107" s="85"/>
      <c r="D107" s="58"/>
      <c r="E107" s="58"/>
      <c r="F107" s="87"/>
      <c r="G107" s="87"/>
      <c r="H107" s="31"/>
      <c r="I107" s="31"/>
      <c r="J107" s="31"/>
      <c r="K107" s="31"/>
      <c r="L107" s="31"/>
    </row>
    <row r="108" spans="1:12" x14ac:dyDescent="0.2">
      <c r="A108" s="31"/>
      <c r="B108" s="31"/>
      <c r="C108" s="31"/>
      <c r="D108" s="31"/>
      <c r="E108" s="31"/>
      <c r="F108" s="31"/>
      <c r="G108" s="31"/>
      <c r="H108" s="31"/>
      <c r="I108" s="31"/>
      <c r="J108" s="31"/>
      <c r="K108" s="31"/>
      <c r="L108" s="31"/>
    </row>
    <row r="109" spans="1:12" x14ac:dyDescent="0.2">
      <c r="A109" s="31"/>
      <c r="B109" s="31"/>
      <c r="C109" s="31"/>
      <c r="D109" s="31"/>
      <c r="E109" s="31"/>
      <c r="F109" s="31"/>
      <c r="G109" s="31"/>
      <c r="H109" s="31"/>
      <c r="I109" s="31"/>
      <c r="J109" s="31"/>
      <c r="K109" s="31"/>
      <c r="L109" s="31"/>
    </row>
    <row r="110" spans="1:12" x14ac:dyDescent="0.2">
      <c r="A110" s="31"/>
      <c r="B110" s="31"/>
      <c r="C110" s="31"/>
      <c r="D110" s="31"/>
      <c r="E110" s="31"/>
      <c r="F110" s="31"/>
      <c r="G110" s="31"/>
      <c r="H110" s="31"/>
      <c r="I110" s="31"/>
      <c r="J110" s="31"/>
      <c r="K110" s="31"/>
      <c r="L110" s="31"/>
    </row>
    <row r="111" spans="1:12" x14ac:dyDescent="0.2">
      <c r="A111" s="31"/>
      <c r="B111" s="31"/>
      <c r="C111" s="31"/>
      <c r="D111" s="31"/>
      <c r="E111" s="31"/>
      <c r="F111" s="31"/>
      <c r="G111" s="31"/>
      <c r="H111" s="31"/>
      <c r="I111" s="31"/>
      <c r="J111" s="31"/>
      <c r="K111" s="31"/>
      <c r="L111" s="31"/>
    </row>
    <row r="112" spans="1:12" x14ac:dyDescent="0.2">
      <c r="A112" s="31"/>
      <c r="B112" s="31"/>
      <c r="C112" s="31"/>
      <c r="D112" s="31"/>
      <c r="E112" s="31"/>
      <c r="F112" s="31"/>
      <c r="G112" s="31"/>
      <c r="H112" s="31"/>
      <c r="I112" s="31"/>
      <c r="J112" s="31"/>
      <c r="K112" s="31"/>
      <c r="L112" s="31"/>
    </row>
    <row r="113" spans="1:12" x14ac:dyDescent="0.2">
      <c r="A113" s="31"/>
      <c r="B113" s="31"/>
      <c r="C113" s="31"/>
      <c r="D113" s="31"/>
      <c r="E113" s="31"/>
      <c r="F113" s="31"/>
      <c r="G113" s="31"/>
      <c r="H113" s="31"/>
      <c r="I113" s="31"/>
      <c r="J113" s="31"/>
      <c r="K113" s="31"/>
      <c r="L113" s="31"/>
    </row>
    <row r="114" spans="1:12" x14ac:dyDescent="0.2">
      <c r="A114" s="31"/>
      <c r="B114" s="31"/>
      <c r="C114" s="31"/>
      <c r="D114" s="31"/>
      <c r="E114" s="31"/>
      <c r="F114" s="31"/>
      <c r="G114" s="31"/>
      <c r="H114" s="31"/>
      <c r="I114" s="31"/>
      <c r="J114" s="31"/>
      <c r="K114" s="31"/>
      <c r="L114" s="31"/>
    </row>
    <row r="115" spans="1:12" x14ac:dyDescent="0.2">
      <c r="A115" s="31"/>
      <c r="B115" s="31"/>
      <c r="C115" s="31"/>
      <c r="D115" s="31"/>
      <c r="E115" s="31"/>
      <c r="F115" s="31"/>
      <c r="G115" s="31"/>
      <c r="H115" s="31"/>
      <c r="I115" s="31"/>
      <c r="J115" s="31"/>
      <c r="K115" s="31"/>
      <c r="L115" s="31"/>
    </row>
    <row r="116" spans="1:12" x14ac:dyDescent="0.2">
      <c r="A116" s="31"/>
      <c r="B116" s="31"/>
      <c r="C116" s="31"/>
      <c r="D116" s="31"/>
      <c r="E116" s="31"/>
      <c r="F116" s="31"/>
      <c r="G116" s="31"/>
      <c r="H116" s="31"/>
      <c r="I116" s="31"/>
      <c r="J116" s="31"/>
      <c r="K116" s="31"/>
      <c r="L116" s="31"/>
    </row>
    <row r="117" spans="1:12" x14ac:dyDescent="0.2">
      <c r="A117" s="31"/>
      <c r="B117" s="31"/>
      <c r="C117" s="31"/>
      <c r="D117" s="31"/>
      <c r="E117" s="31"/>
      <c r="F117" s="31"/>
      <c r="G117" s="31"/>
      <c r="H117" s="31"/>
      <c r="I117" s="31"/>
      <c r="J117" s="31"/>
      <c r="K117" s="31"/>
      <c r="L117" s="31"/>
    </row>
    <row r="118" spans="1:12" x14ac:dyDescent="0.2">
      <c r="A118" s="31"/>
      <c r="B118" s="31"/>
      <c r="C118" s="31"/>
      <c r="D118" s="31"/>
      <c r="E118" s="31"/>
      <c r="F118" s="31"/>
      <c r="G118" s="31"/>
      <c r="H118" s="31"/>
      <c r="I118" s="31"/>
      <c r="J118" s="31"/>
      <c r="K118" s="31"/>
      <c r="L118" s="31"/>
    </row>
    <row r="119" spans="1:12" x14ac:dyDescent="0.2">
      <c r="A119" s="31"/>
      <c r="B119" s="31"/>
      <c r="C119" s="31"/>
      <c r="D119" s="31"/>
      <c r="E119" s="31"/>
      <c r="F119" s="31"/>
      <c r="G119" s="31"/>
      <c r="H119" s="31"/>
      <c r="I119" s="31"/>
      <c r="J119" s="31"/>
      <c r="K119" s="31"/>
      <c r="L119" s="31"/>
    </row>
    <row r="120" spans="1:12" x14ac:dyDescent="0.2">
      <c r="A120" s="31"/>
      <c r="B120" s="31"/>
      <c r="C120" s="31"/>
      <c r="D120" s="31"/>
      <c r="E120" s="31"/>
      <c r="F120" s="31"/>
      <c r="G120" s="31"/>
      <c r="H120" s="31"/>
      <c r="I120" s="31"/>
      <c r="J120" s="31"/>
      <c r="K120" s="31"/>
      <c r="L120" s="31"/>
    </row>
    <row r="121" spans="1:12" x14ac:dyDescent="0.2">
      <c r="A121" s="31"/>
      <c r="B121" s="31"/>
      <c r="C121" s="31"/>
      <c r="D121" s="31"/>
      <c r="E121" s="31"/>
      <c r="F121" s="31"/>
      <c r="G121" s="31"/>
      <c r="H121" s="31"/>
      <c r="I121" s="31"/>
      <c r="J121" s="31"/>
      <c r="K121" s="31"/>
      <c r="L121" s="31"/>
    </row>
    <row r="122" spans="1:12" x14ac:dyDescent="0.2">
      <c r="A122" s="31"/>
      <c r="B122" s="31"/>
      <c r="C122" s="31"/>
      <c r="D122" s="31"/>
      <c r="E122" s="31"/>
      <c r="F122" s="31"/>
      <c r="G122" s="31"/>
      <c r="H122" s="31"/>
      <c r="I122" s="31"/>
      <c r="J122" s="31"/>
      <c r="K122" s="31"/>
      <c r="L122" s="31"/>
    </row>
    <row r="123" spans="1:12" x14ac:dyDescent="0.2">
      <c r="A123" s="31"/>
      <c r="B123" s="31"/>
      <c r="C123" s="31"/>
      <c r="D123" s="31"/>
      <c r="E123" s="31"/>
      <c r="F123" s="31"/>
      <c r="G123" s="31"/>
      <c r="H123" s="31"/>
      <c r="I123" s="31"/>
      <c r="J123" s="31"/>
      <c r="K123" s="31"/>
      <c r="L123" s="31"/>
    </row>
    <row r="124" spans="1:12" x14ac:dyDescent="0.2">
      <c r="A124" s="31"/>
      <c r="B124" s="31"/>
      <c r="C124" s="31"/>
      <c r="D124" s="31"/>
      <c r="E124" s="31"/>
      <c r="F124" s="31"/>
      <c r="G124" s="31"/>
      <c r="H124" s="31"/>
      <c r="I124" s="31"/>
      <c r="J124" s="31"/>
      <c r="K124" s="31"/>
      <c r="L124" s="31"/>
    </row>
    <row r="125" spans="1:12" x14ac:dyDescent="0.2">
      <c r="B125" s="31"/>
      <c r="C125" s="31"/>
      <c r="D125" s="31"/>
      <c r="E125" s="31"/>
      <c r="F125" s="31"/>
      <c r="G125" s="31"/>
      <c r="H125" s="31"/>
      <c r="I125" s="31"/>
      <c r="J125" s="31"/>
      <c r="K125" s="31"/>
      <c r="L125" s="31"/>
    </row>
    <row r="126" spans="1:12" x14ac:dyDescent="0.2">
      <c r="B126" s="31"/>
      <c r="C126" s="31"/>
      <c r="D126" s="31"/>
      <c r="E126" s="31"/>
      <c r="F126" s="31"/>
      <c r="G126" s="31"/>
      <c r="H126" s="31"/>
      <c r="I126" s="31"/>
      <c r="J126" s="31"/>
      <c r="K126" s="31"/>
      <c r="L126" s="31"/>
    </row>
    <row r="127" spans="1:12" x14ac:dyDescent="0.2">
      <c r="B127" s="31"/>
      <c r="C127" s="31"/>
      <c r="D127" s="31"/>
      <c r="E127" s="31"/>
      <c r="F127" s="31"/>
      <c r="G127" s="31"/>
      <c r="H127" s="31"/>
      <c r="I127" s="31"/>
      <c r="J127" s="31"/>
      <c r="K127" s="31"/>
      <c r="L127" s="31"/>
    </row>
    <row r="128" spans="1:12" x14ac:dyDescent="0.2">
      <c r="B128" s="31"/>
      <c r="C128" s="31"/>
      <c r="D128" s="31"/>
      <c r="E128" s="31"/>
      <c r="F128" s="31"/>
      <c r="G128" s="31"/>
      <c r="H128" s="31"/>
      <c r="I128" s="31"/>
      <c r="J128" s="31"/>
      <c r="K128" s="31"/>
      <c r="L128" s="31"/>
    </row>
    <row r="129" spans="2:12" x14ac:dyDescent="0.2">
      <c r="B129" s="31"/>
      <c r="C129" s="31"/>
      <c r="D129" s="31"/>
      <c r="E129" s="31"/>
      <c r="F129" s="31"/>
      <c r="G129" s="31"/>
      <c r="H129" s="31"/>
      <c r="I129" s="31"/>
      <c r="J129" s="31"/>
      <c r="K129" s="31"/>
      <c r="L129" s="31"/>
    </row>
    <row r="130" spans="2:12" x14ac:dyDescent="0.2">
      <c r="B130" s="31"/>
      <c r="C130" s="31"/>
      <c r="D130" s="31"/>
      <c r="E130" s="31"/>
      <c r="F130" s="31"/>
      <c r="G130" s="31"/>
      <c r="H130" s="31"/>
      <c r="I130" s="31"/>
      <c r="J130" s="31"/>
      <c r="K130" s="31"/>
      <c r="L130" s="31"/>
    </row>
    <row r="131" spans="2:12" x14ac:dyDescent="0.2">
      <c r="B131" s="31"/>
      <c r="C131" s="31"/>
      <c r="D131" s="31"/>
      <c r="E131" s="31"/>
      <c r="F131" s="31"/>
      <c r="G131" s="31"/>
      <c r="H131" s="31"/>
      <c r="I131" s="31"/>
      <c r="J131" s="31"/>
      <c r="K131" s="31"/>
      <c r="L131" s="31"/>
    </row>
    <row r="132" spans="2:12" x14ac:dyDescent="0.2">
      <c r="B132" s="31"/>
      <c r="C132" s="31"/>
      <c r="D132" s="31"/>
      <c r="E132" s="31"/>
      <c r="F132" s="31"/>
      <c r="G132" s="31"/>
      <c r="H132" s="31"/>
      <c r="I132" s="31"/>
      <c r="J132" s="31"/>
      <c r="K132" s="31"/>
      <c r="L132" s="31"/>
    </row>
  </sheetData>
  <mergeCells count="102">
    <mergeCell ref="F90:K90"/>
    <mergeCell ref="G91:H91"/>
    <mergeCell ref="B76:C77"/>
    <mergeCell ref="D76:H76"/>
    <mergeCell ref="D77:H77"/>
    <mergeCell ref="B79:C79"/>
    <mergeCell ref="F79:G79"/>
    <mergeCell ref="F89:G89"/>
    <mergeCell ref="B72:C72"/>
    <mergeCell ref="D72:F72"/>
    <mergeCell ref="G72:H72"/>
    <mergeCell ref="D73:F73"/>
    <mergeCell ref="G73:H73"/>
    <mergeCell ref="B75:C75"/>
    <mergeCell ref="D75:H75"/>
    <mergeCell ref="G68:H68"/>
    <mergeCell ref="D69:F69"/>
    <mergeCell ref="G69:H69"/>
    <mergeCell ref="B71:C71"/>
    <mergeCell ref="D71:F71"/>
    <mergeCell ref="G71:H71"/>
    <mergeCell ref="B64:C67"/>
    <mergeCell ref="D64:E64"/>
    <mergeCell ref="G64:H64"/>
    <mergeCell ref="D65:E65"/>
    <mergeCell ref="G65:H65"/>
    <mergeCell ref="D66:E66"/>
    <mergeCell ref="G66:H66"/>
    <mergeCell ref="D67:E67"/>
    <mergeCell ref="G67:H67"/>
    <mergeCell ref="D60:G60"/>
    <mergeCell ref="B61:C61"/>
    <mergeCell ref="D61:G61"/>
    <mergeCell ref="B62:I62"/>
    <mergeCell ref="D48:G48"/>
    <mergeCell ref="B49:C49"/>
    <mergeCell ref="D49:G49"/>
    <mergeCell ref="B63:C63"/>
    <mergeCell ref="D63:F63"/>
    <mergeCell ref="G63:H63"/>
    <mergeCell ref="B52:C52"/>
    <mergeCell ref="D52:H52"/>
    <mergeCell ref="B53:C60"/>
    <mergeCell ref="D53:G53"/>
    <mergeCell ref="D54:G54"/>
    <mergeCell ref="D55:G55"/>
    <mergeCell ref="D56:G56"/>
    <mergeCell ref="D57:G57"/>
    <mergeCell ref="D58:G58"/>
    <mergeCell ref="D59:G59"/>
    <mergeCell ref="D44:E44"/>
    <mergeCell ref="G44:H44"/>
    <mergeCell ref="C43:D43"/>
    <mergeCell ref="B50:C50"/>
    <mergeCell ref="D50:G50"/>
    <mergeCell ref="D40:H40"/>
    <mergeCell ref="D36:F36"/>
    <mergeCell ref="D41:H41"/>
    <mergeCell ref="B51:I51"/>
    <mergeCell ref="B44:C47"/>
    <mergeCell ref="D45:G45"/>
    <mergeCell ref="D46:G46"/>
    <mergeCell ref="D47:G47"/>
    <mergeCell ref="I43:J43"/>
    <mergeCell ref="L43:M43"/>
    <mergeCell ref="D12:F12"/>
    <mergeCell ref="D13:F13"/>
    <mergeCell ref="D14:F14"/>
    <mergeCell ref="D15:F15"/>
    <mergeCell ref="D29:F29"/>
    <mergeCell ref="D30:F30"/>
    <mergeCell ref="D31:F31"/>
    <mergeCell ref="D32:F32"/>
    <mergeCell ref="D33:F33"/>
    <mergeCell ref="D34:F34"/>
    <mergeCell ref="D17:F17"/>
    <mergeCell ref="D18:F18"/>
    <mergeCell ref="D20:F20"/>
    <mergeCell ref="D21:F21"/>
    <mergeCell ref="D22:F22"/>
    <mergeCell ref="G43:H43"/>
    <mergeCell ref="B4:I4"/>
    <mergeCell ref="B6:C6"/>
    <mergeCell ref="D6:H6"/>
    <mergeCell ref="B7:C40"/>
    <mergeCell ref="D7:F7"/>
    <mergeCell ref="D8:F8"/>
    <mergeCell ref="D9:F9"/>
    <mergeCell ref="D10:F10"/>
    <mergeCell ref="D11:F11"/>
    <mergeCell ref="D23:F23"/>
    <mergeCell ref="D24:F24"/>
    <mergeCell ref="D25:F25"/>
    <mergeCell ref="D26:F26"/>
    <mergeCell ref="D27:F27"/>
    <mergeCell ref="D28:F28"/>
    <mergeCell ref="D16:F16"/>
    <mergeCell ref="D35:F35"/>
    <mergeCell ref="D37:F37"/>
    <mergeCell ref="D38:H38"/>
    <mergeCell ref="D39:H39"/>
    <mergeCell ref="D19:F19"/>
  </mergeCells>
  <pageMargins left="0.59055118110236227" right="0.19685039370078741" top="0.59055118110236227" bottom="0.59055118110236227" header="0.51181102362204722" footer="0.51181102362204722"/>
  <pageSetup paperSize="9" scale="80" orientation="landscape"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O23"/>
  <sheetViews>
    <sheetView workbookViewId="0">
      <selection activeCell="K20" sqref="K20"/>
    </sheetView>
  </sheetViews>
  <sheetFormatPr defaultRowHeight="12.75" x14ac:dyDescent="0.2"/>
  <cols>
    <col min="1" max="1" width="8.42578125" customWidth="1"/>
    <col min="2" max="2" width="33.28515625" customWidth="1"/>
    <col min="3" max="3" width="11" customWidth="1"/>
    <col min="4" max="4" width="21.140625" customWidth="1"/>
    <col min="5" max="5" width="12.5703125" customWidth="1"/>
    <col min="6" max="7" width="21.140625" customWidth="1"/>
    <col min="8" max="8" width="16.140625" customWidth="1"/>
    <col min="9" max="9" width="6.140625" customWidth="1"/>
    <col min="11" max="11" width="35" customWidth="1"/>
    <col min="12" max="12" width="11.7109375" customWidth="1"/>
    <col min="13" max="13" width="19.140625" customWidth="1"/>
    <col min="14" max="14" width="14" customWidth="1"/>
    <col min="15" max="15" width="18.28515625" customWidth="1"/>
  </cols>
  <sheetData>
    <row r="3" spans="1:15" ht="20.25" x14ac:dyDescent="0.3">
      <c r="A3" s="231" t="s">
        <v>212</v>
      </c>
      <c r="B3" s="231"/>
      <c r="C3" s="231"/>
      <c r="D3" s="231"/>
      <c r="E3" s="231"/>
      <c r="F3" s="231"/>
      <c r="G3" s="17"/>
      <c r="J3" s="232"/>
      <c r="K3" s="232"/>
      <c r="L3" s="232"/>
      <c r="M3" s="232"/>
      <c r="N3" s="232"/>
      <c r="O3" s="232"/>
    </row>
    <row r="5" spans="1:15" ht="110.25" customHeight="1" x14ac:dyDescent="0.3">
      <c r="A5" s="14" t="s">
        <v>9</v>
      </c>
      <c r="B5" s="14" t="s">
        <v>10</v>
      </c>
      <c r="C5" s="15" t="s">
        <v>11</v>
      </c>
      <c r="D5" s="15" t="s">
        <v>30</v>
      </c>
      <c r="E5" s="15" t="s">
        <v>11</v>
      </c>
      <c r="F5" s="15" t="s">
        <v>31</v>
      </c>
      <c r="G5" s="15" t="s">
        <v>20</v>
      </c>
      <c r="J5" s="22"/>
      <c r="K5" s="22"/>
      <c r="L5" s="23"/>
      <c r="M5" s="23"/>
      <c r="N5" s="23"/>
      <c r="O5" s="23"/>
    </row>
    <row r="6" spans="1:15" ht="18.75" x14ac:dyDescent="0.3">
      <c r="A6" s="9">
        <v>1</v>
      </c>
      <c r="B6" s="9" t="s">
        <v>79</v>
      </c>
      <c r="C6" s="9">
        <v>0.5</v>
      </c>
      <c r="D6" s="11">
        <v>136869.6</v>
      </c>
      <c r="E6" s="9">
        <v>0.5</v>
      </c>
      <c r="F6" s="11">
        <v>122205</v>
      </c>
      <c r="G6" s="11">
        <f t="shared" ref="G6:G11" si="0">SUM(D6+F6)</f>
        <v>259074.6</v>
      </c>
      <c r="J6" s="16"/>
      <c r="K6" s="18"/>
      <c r="L6" s="16"/>
      <c r="M6" s="19"/>
      <c r="N6" s="16"/>
      <c r="O6" s="16"/>
    </row>
    <row r="7" spans="1:15" ht="18.75" x14ac:dyDescent="0.3">
      <c r="A7" s="9">
        <v>2</v>
      </c>
      <c r="B7" s="9" t="s">
        <v>80</v>
      </c>
      <c r="C7" s="9">
        <v>0.5</v>
      </c>
      <c r="D7" s="11">
        <v>136869.6</v>
      </c>
      <c r="E7" s="9">
        <v>0.5</v>
      </c>
      <c r="F7" s="11">
        <v>122205</v>
      </c>
      <c r="G7" s="11">
        <f t="shared" si="0"/>
        <v>259074.6</v>
      </c>
      <c r="J7" s="16"/>
      <c r="K7" s="16"/>
      <c r="L7" s="16"/>
      <c r="M7" s="19"/>
      <c r="N7" s="16"/>
      <c r="O7" s="16"/>
    </row>
    <row r="8" spans="1:15" ht="18.75" x14ac:dyDescent="0.3">
      <c r="A8" s="9">
        <v>3</v>
      </c>
      <c r="B8" s="9" t="s">
        <v>81</v>
      </c>
      <c r="C8" s="9">
        <v>0.75</v>
      </c>
      <c r="D8" s="11">
        <v>205312.8</v>
      </c>
      <c r="E8" s="9">
        <v>0.25</v>
      </c>
      <c r="F8" s="11">
        <v>61110</v>
      </c>
      <c r="G8" s="11">
        <f t="shared" si="0"/>
        <v>266422.8</v>
      </c>
      <c r="J8" s="16"/>
      <c r="K8" s="16"/>
      <c r="L8" s="16"/>
      <c r="M8" s="19"/>
      <c r="N8" s="16"/>
      <c r="O8" s="16"/>
    </row>
    <row r="9" spans="1:15" ht="18.75" x14ac:dyDescent="0.3">
      <c r="A9" s="9">
        <v>4</v>
      </c>
      <c r="B9" s="9" t="s">
        <v>82</v>
      </c>
      <c r="C9" s="9">
        <v>0.75</v>
      </c>
      <c r="D9" s="11">
        <v>234494.4</v>
      </c>
      <c r="E9" s="9">
        <v>0.25</v>
      </c>
      <c r="F9" s="11">
        <v>69795</v>
      </c>
      <c r="G9" s="11">
        <f t="shared" si="0"/>
        <v>304289.40000000002</v>
      </c>
      <c r="J9" s="16"/>
      <c r="K9" s="16"/>
      <c r="L9" s="16"/>
      <c r="M9" s="19"/>
      <c r="N9" s="16"/>
      <c r="O9" s="16"/>
    </row>
    <row r="10" spans="1:15" ht="18.75" x14ac:dyDescent="0.3">
      <c r="A10" s="9">
        <v>5</v>
      </c>
      <c r="B10" s="9" t="s">
        <v>83</v>
      </c>
      <c r="C10" s="9">
        <v>0.75</v>
      </c>
      <c r="D10" s="11">
        <v>244557.6</v>
      </c>
      <c r="E10" s="9">
        <v>0.25</v>
      </c>
      <c r="F10" s="11">
        <v>72780</v>
      </c>
      <c r="G10" s="11">
        <f t="shared" si="0"/>
        <v>317337.59999999998</v>
      </c>
      <c r="J10" s="16"/>
      <c r="K10" s="16"/>
      <c r="L10" s="16"/>
      <c r="M10" s="19"/>
      <c r="N10" s="16"/>
      <c r="O10" s="16"/>
    </row>
    <row r="11" spans="1:15" ht="36" customHeight="1" x14ac:dyDescent="0.3">
      <c r="A11" s="9">
        <v>6</v>
      </c>
      <c r="B11" s="10" t="s">
        <v>13</v>
      </c>
      <c r="C11" s="9">
        <v>4</v>
      </c>
      <c r="D11" s="9">
        <v>628374.72</v>
      </c>
      <c r="E11" s="9"/>
      <c r="F11" s="9"/>
      <c r="G11" s="9">
        <f t="shared" si="0"/>
        <v>628374.72</v>
      </c>
      <c r="J11" s="16"/>
      <c r="K11" s="18"/>
      <c r="L11" s="16"/>
      <c r="M11" s="16"/>
      <c r="N11" s="16"/>
      <c r="O11" s="16"/>
    </row>
    <row r="12" spans="1:15" ht="18.75" x14ac:dyDescent="0.3">
      <c r="A12" s="9"/>
      <c r="B12" s="9"/>
      <c r="C12" s="9"/>
      <c r="D12" s="9"/>
      <c r="E12" s="9"/>
      <c r="F12" s="9"/>
      <c r="G12" s="9"/>
      <c r="J12" s="16"/>
      <c r="K12" s="16"/>
      <c r="L12" s="16"/>
      <c r="M12" s="16"/>
      <c r="N12" s="16"/>
      <c r="O12" s="16"/>
    </row>
    <row r="13" spans="1:15" ht="18.75" x14ac:dyDescent="0.3">
      <c r="A13" s="9"/>
      <c r="B13" s="12" t="s">
        <v>15</v>
      </c>
      <c r="C13" s="12"/>
      <c r="D13" s="13">
        <f>SUM(D6:D12)</f>
        <v>1586478.72</v>
      </c>
      <c r="E13" s="13"/>
      <c r="F13" s="13">
        <f>SUM(F6:F12)</f>
        <v>448095</v>
      </c>
      <c r="G13" s="13">
        <f>SUM(G6:G12)</f>
        <v>2034573.72</v>
      </c>
      <c r="J13" s="16"/>
      <c r="K13" s="20"/>
      <c r="L13" s="20"/>
      <c r="M13" s="21"/>
      <c r="N13" s="21"/>
      <c r="O13" s="21"/>
    </row>
    <row r="14" spans="1:15" ht="18.75" x14ac:dyDescent="0.3">
      <c r="A14" s="9"/>
      <c r="B14" s="12"/>
      <c r="C14" s="12"/>
      <c r="D14" s="13"/>
      <c r="E14" s="13"/>
      <c r="F14" s="12"/>
      <c r="G14" s="12"/>
      <c r="J14" s="16"/>
      <c r="K14" s="20"/>
      <c r="L14" s="20"/>
      <c r="M14" s="21"/>
      <c r="N14" s="21"/>
      <c r="O14" s="20"/>
    </row>
    <row r="15" spans="1:15" ht="18.75" x14ac:dyDescent="0.3">
      <c r="A15" s="9"/>
      <c r="B15" s="9"/>
      <c r="C15" s="9"/>
      <c r="D15" s="9"/>
      <c r="E15" s="9"/>
      <c r="F15" s="9"/>
      <c r="G15" s="9"/>
      <c r="J15" s="16"/>
      <c r="K15" s="20"/>
      <c r="L15" s="16"/>
      <c r="M15" s="21"/>
      <c r="N15" s="20"/>
      <c r="O15" s="21"/>
    </row>
    <row r="16" spans="1:15" ht="18.75" x14ac:dyDescent="0.3">
      <c r="A16" s="9"/>
      <c r="B16" s="9"/>
      <c r="C16" s="9"/>
      <c r="D16" s="9"/>
      <c r="E16" s="9"/>
      <c r="F16" s="9"/>
      <c r="G16" s="9"/>
      <c r="J16" s="16"/>
      <c r="K16" s="16"/>
      <c r="L16" s="16"/>
      <c r="M16" s="16"/>
      <c r="N16" s="16"/>
      <c r="O16" s="16"/>
    </row>
    <row r="17" spans="1:15" ht="18.75" x14ac:dyDescent="0.3">
      <c r="A17" s="9"/>
      <c r="B17" s="9"/>
      <c r="C17" s="9"/>
      <c r="D17" s="9"/>
      <c r="E17" s="9"/>
      <c r="F17" s="9"/>
      <c r="G17" s="9"/>
      <c r="J17" s="16"/>
      <c r="K17" s="16"/>
      <c r="L17" s="16"/>
      <c r="M17" s="16"/>
      <c r="N17" s="16"/>
      <c r="O17" s="16"/>
    </row>
    <row r="20" spans="1:15" ht="18.75" x14ac:dyDescent="0.3">
      <c r="A20" s="16"/>
      <c r="B20" s="54" t="s">
        <v>217</v>
      </c>
      <c r="C20" s="16"/>
      <c r="D20" s="16"/>
      <c r="E20" s="233" t="s">
        <v>72</v>
      </c>
      <c r="F20" s="233"/>
      <c r="G20" s="16"/>
    </row>
    <row r="23" spans="1:15" ht="15.75" x14ac:dyDescent="0.25">
      <c r="B23" s="54" t="s">
        <v>73</v>
      </c>
      <c r="E23" s="233" t="s">
        <v>74</v>
      </c>
      <c r="F23" s="233"/>
    </row>
  </sheetData>
  <mergeCells count="4">
    <mergeCell ref="A3:F3"/>
    <mergeCell ref="J3:O3"/>
    <mergeCell ref="E20:F20"/>
    <mergeCell ref="E23:F23"/>
  </mergeCells>
  <pageMargins left="0.70866141732283472" right="0.70866141732283472" top="0.74803149606299213" bottom="0.74803149606299213" header="0.31496062992125984" footer="0.31496062992125984"/>
  <pageSetup paperSize="9"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C3:P45"/>
  <sheetViews>
    <sheetView topLeftCell="A25" workbookViewId="0">
      <selection activeCell="H38" sqref="H38"/>
    </sheetView>
  </sheetViews>
  <sheetFormatPr defaultRowHeight="12.75" x14ac:dyDescent="0.2"/>
  <cols>
    <col min="3" max="3" width="8.42578125" customWidth="1"/>
    <col min="4" max="4" width="33.28515625" customWidth="1"/>
    <col min="6" max="6" width="16.140625" customWidth="1"/>
    <col min="7" max="7" width="16" customWidth="1"/>
    <col min="8" max="8" width="18.28515625" customWidth="1"/>
    <col min="10" max="10" width="6.140625" customWidth="1"/>
    <col min="12" max="12" width="35" customWidth="1"/>
    <col min="13" max="13" width="11.7109375" customWidth="1"/>
    <col min="14" max="14" width="19.140625" customWidth="1"/>
    <col min="15" max="15" width="14" customWidth="1"/>
    <col min="16" max="16" width="18.28515625" customWidth="1"/>
  </cols>
  <sheetData>
    <row r="3" spans="3:16" ht="20.25" x14ac:dyDescent="0.3">
      <c r="C3" s="231" t="s">
        <v>14</v>
      </c>
      <c r="D3" s="231"/>
      <c r="E3" s="231"/>
      <c r="F3" s="231"/>
      <c r="G3" s="231"/>
      <c r="H3" s="231"/>
      <c r="K3" s="231" t="s">
        <v>21</v>
      </c>
      <c r="L3" s="231"/>
      <c r="M3" s="231"/>
      <c r="N3" s="231"/>
      <c r="O3" s="231"/>
      <c r="P3" s="231"/>
    </row>
    <row r="5" spans="3:16" ht="75" x14ac:dyDescent="0.3">
      <c r="C5" s="14" t="s">
        <v>9</v>
      </c>
      <c r="D5" s="14" t="s">
        <v>10</v>
      </c>
      <c r="E5" s="15" t="s">
        <v>11</v>
      </c>
      <c r="F5" s="15" t="s">
        <v>12</v>
      </c>
      <c r="G5" s="15" t="s">
        <v>16</v>
      </c>
      <c r="H5" s="15" t="s">
        <v>17</v>
      </c>
      <c r="K5" s="14" t="s">
        <v>9</v>
      </c>
      <c r="L5" s="14" t="s">
        <v>10</v>
      </c>
      <c r="M5" s="15" t="s">
        <v>11</v>
      </c>
      <c r="N5" s="15" t="s">
        <v>12</v>
      </c>
      <c r="O5" s="15" t="s">
        <v>16</v>
      </c>
      <c r="P5" s="15" t="s">
        <v>17</v>
      </c>
    </row>
    <row r="6" spans="3:16" ht="37.5" x14ac:dyDescent="0.3">
      <c r="C6" s="9">
        <v>1</v>
      </c>
      <c r="D6" s="9" t="s">
        <v>79</v>
      </c>
      <c r="E6" s="9">
        <v>1</v>
      </c>
      <c r="F6" s="11">
        <f>SUM(ЗАРОБІТНА_ПЛАТА!G6)</f>
        <v>259074.6</v>
      </c>
      <c r="G6" s="9"/>
      <c r="H6" s="9"/>
      <c r="K6" s="9">
        <v>1</v>
      </c>
      <c r="L6" s="10" t="s">
        <v>19</v>
      </c>
      <c r="M6" s="9">
        <v>1</v>
      </c>
      <c r="N6" s="11">
        <v>281786.40000000002</v>
      </c>
      <c r="O6" s="9"/>
      <c r="P6" s="9"/>
    </row>
    <row r="7" spans="3:16" ht="18.75" x14ac:dyDescent="0.3">
      <c r="C7" s="9">
        <v>2</v>
      </c>
      <c r="D7" s="9" t="s">
        <v>80</v>
      </c>
      <c r="E7" s="9">
        <v>1</v>
      </c>
      <c r="F7" s="11">
        <f>SUM(ЗАРОБІТНА_ПЛАТА!G7)</f>
        <v>259074.6</v>
      </c>
      <c r="G7" s="9"/>
      <c r="H7" s="9"/>
      <c r="K7" s="9"/>
      <c r="L7" s="9"/>
      <c r="M7" s="9"/>
      <c r="N7" s="11"/>
      <c r="O7" s="9"/>
      <c r="P7" s="9"/>
    </row>
    <row r="8" spans="3:16" ht="18.75" x14ac:dyDescent="0.3">
      <c r="C8" s="9">
        <v>3</v>
      </c>
      <c r="D8" s="9" t="s">
        <v>81</v>
      </c>
      <c r="E8" s="9">
        <v>1</v>
      </c>
      <c r="F8" s="11">
        <f>SUM(ЗАРОБІТНА_ПЛАТА!G8)</f>
        <v>266422.8</v>
      </c>
      <c r="G8" s="9"/>
      <c r="H8" s="9"/>
      <c r="K8" s="9"/>
      <c r="L8" s="9"/>
      <c r="M8" s="9"/>
      <c r="N8" s="11"/>
      <c r="O8" s="9"/>
      <c r="P8" s="9"/>
    </row>
    <row r="9" spans="3:16" ht="18.75" x14ac:dyDescent="0.3">
      <c r="C9" s="9">
        <v>4</v>
      </c>
      <c r="D9" s="9" t="s">
        <v>82</v>
      </c>
      <c r="E9" s="9">
        <v>1</v>
      </c>
      <c r="F9" s="11">
        <f>SUM(ЗАРОБІТНА_ПЛАТА!G9)</f>
        <v>304289.40000000002</v>
      </c>
      <c r="G9" s="9"/>
      <c r="H9" s="9"/>
      <c r="K9" s="9"/>
      <c r="L9" s="9"/>
      <c r="M9" s="9"/>
      <c r="N9" s="11"/>
      <c r="O9" s="9"/>
      <c r="P9" s="9"/>
    </row>
    <row r="10" spans="3:16" ht="18.75" x14ac:dyDescent="0.3">
      <c r="C10" s="9">
        <v>5</v>
      </c>
      <c r="D10" s="9" t="s">
        <v>57</v>
      </c>
      <c r="E10" s="9">
        <v>1</v>
      </c>
      <c r="F10" s="11">
        <f>SUM(ЗАРОБІТНА_ПЛАТА!G10)</f>
        <v>317337.59999999998</v>
      </c>
      <c r="G10" s="9"/>
      <c r="H10" s="9"/>
      <c r="K10" s="9"/>
      <c r="L10" s="9"/>
      <c r="M10" s="9"/>
      <c r="N10" s="11"/>
      <c r="O10" s="9"/>
      <c r="P10" s="9"/>
    </row>
    <row r="11" spans="3:16" ht="36" customHeight="1" x14ac:dyDescent="0.3">
      <c r="C11" s="9">
        <v>6</v>
      </c>
      <c r="D11" s="10" t="s">
        <v>13</v>
      </c>
      <c r="E11" s="9">
        <v>4</v>
      </c>
      <c r="F11" s="9">
        <f>SUM(ЗАРОБІТНА_ПЛАТА!G11)</f>
        <v>628374.72</v>
      </c>
      <c r="G11" s="9"/>
      <c r="H11" s="9"/>
      <c r="K11" s="9"/>
      <c r="L11" s="10"/>
      <c r="M11" s="9"/>
      <c r="N11" s="9"/>
      <c r="O11" s="9"/>
      <c r="P11" s="9"/>
    </row>
    <row r="12" spans="3:16" ht="18.75" x14ac:dyDescent="0.3">
      <c r="C12" s="9"/>
      <c r="D12" s="9"/>
      <c r="E12" s="9"/>
      <c r="F12" s="9"/>
      <c r="G12" s="9"/>
      <c r="H12" s="9"/>
      <c r="K12" s="9"/>
      <c r="L12" s="9"/>
      <c r="M12" s="9"/>
      <c r="N12" s="9"/>
      <c r="O12" s="9"/>
      <c r="P12" s="9"/>
    </row>
    <row r="13" spans="3:16" ht="18.75" x14ac:dyDescent="0.3">
      <c r="C13" s="9"/>
      <c r="D13" s="12" t="s">
        <v>15</v>
      </c>
      <c r="E13" s="12"/>
      <c r="F13" s="13">
        <f>SUM(F6:F12)</f>
        <v>2034573.72</v>
      </c>
      <c r="G13" s="13">
        <f>SUM(F13*30%)</f>
        <v>610372.11599999992</v>
      </c>
      <c r="H13" s="13">
        <f>SUM(F13*70%)</f>
        <v>1424201.6039999998</v>
      </c>
      <c r="K13" s="9"/>
      <c r="L13" s="12" t="s">
        <v>15</v>
      </c>
      <c r="M13" s="12"/>
      <c r="N13" s="13">
        <f>SUM(N6:N12)</f>
        <v>281786.40000000002</v>
      </c>
      <c r="O13" s="13">
        <f>SUM(N13*50%)</f>
        <v>140893.20000000001</v>
      </c>
      <c r="P13" s="13">
        <f>SUM(N13*50%)</f>
        <v>140893.20000000001</v>
      </c>
    </row>
    <row r="14" spans="3:16" ht="18.75" x14ac:dyDescent="0.3">
      <c r="C14" s="9"/>
      <c r="D14" s="12" t="s">
        <v>18</v>
      </c>
      <c r="E14" s="12"/>
      <c r="F14" s="13">
        <f>SUM(F13*22%)</f>
        <v>447606.21840000001</v>
      </c>
      <c r="G14" s="13">
        <f>SUM(F14*30%)</f>
        <v>134281.86551999999</v>
      </c>
      <c r="H14" s="13">
        <f>SUM(F14*70%)</f>
        <v>313324.35287999996</v>
      </c>
      <c r="K14" s="9"/>
      <c r="L14" s="12" t="s">
        <v>18</v>
      </c>
      <c r="M14" s="12"/>
      <c r="N14" s="13">
        <f>SUM(N13*22%)</f>
        <v>61993.008000000009</v>
      </c>
      <c r="O14" s="13">
        <f>SUM(N14*50%)</f>
        <v>30996.504000000004</v>
      </c>
      <c r="P14" s="12">
        <f>SUM(N14*50%)</f>
        <v>30996.504000000004</v>
      </c>
    </row>
    <row r="15" spans="3:16" ht="18.75" x14ac:dyDescent="0.3">
      <c r="C15" s="9"/>
      <c r="D15" s="9"/>
      <c r="E15" s="9"/>
      <c r="F15" s="9"/>
      <c r="G15" s="9"/>
      <c r="H15" s="9"/>
      <c r="K15" s="9"/>
      <c r="L15" s="12" t="s">
        <v>20</v>
      </c>
      <c r="M15" s="9"/>
      <c r="N15" s="13">
        <f>SUM(N13:N14)</f>
        <v>343779.40800000005</v>
      </c>
      <c r="O15" s="12">
        <f>SUM(O13:O14)</f>
        <v>171889.70400000003</v>
      </c>
      <c r="P15" s="13">
        <f>SUM(P13:P14)</f>
        <v>171889.70400000003</v>
      </c>
    </row>
    <row r="16" spans="3:16" ht="18.75" x14ac:dyDescent="0.3">
      <c r="C16" s="9"/>
      <c r="D16" s="9"/>
      <c r="E16" s="9"/>
      <c r="F16" s="9"/>
      <c r="G16" s="9"/>
      <c r="H16" s="9"/>
      <c r="K16" s="9"/>
      <c r="L16" s="9"/>
      <c r="M16" s="9"/>
      <c r="N16" s="9"/>
      <c r="O16" s="9"/>
      <c r="P16" s="9"/>
    </row>
    <row r="17" spans="3:16" ht="18.75" x14ac:dyDescent="0.3">
      <c r="C17" s="9"/>
      <c r="D17" s="9"/>
      <c r="E17" s="9"/>
      <c r="F17" s="9"/>
      <c r="G17" s="9"/>
      <c r="H17" s="9"/>
      <c r="K17" s="9"/>
      <c r="L17" s="9"/>
      <c r="M17" s="9"/>
      <c r="N17" s="9"/>
      <c r="O17" s="9"/>
      <c r="P17" s="9"/>
    </row>
    <row r="18" spans="3:16" ht="18.75" x14ac:dyDescent="0.3">
      <c r="C18" s="16"/>
      <c r="D18" s="16"/>
      <c r="E18" s="16"/>
      <c r="F18" s="16"/>
      <c r="G18" s="16"/>
      <c r="H18" s="16"/>
      <c r="K18" s="16"/>
      <c r="L18" s="16"/>
      <c r="M18" s="16"/>
      <c r="N18" s="16"/>
      <c r="O18" s="16"/>
      <c r="P18" s="16"/>
    </row>
    <row r="19" spans="3:16" ht="18.75" x14ac:dyDescent="0.3">
      <c r="C19" s="16"/>
      <c r="D19" s="54" t="s">
        <v>217</v>
      </c>
      <c r="E19" s="16"/>
      <c r="F19" s="233" t="s">
        <v>72</v>
      </c>
      <c r="G19" s="233"/>
      <c r="H19" s="16"/>
      <c r="K19" s="16"/>
      <c r="L19" s="54" t="s">
        <v>217</v>
      </c>
      <c r="M19" s="16"/>
      <c r="N19" s="233" t="s">
        <v>218</v>
      </c>
      <c r="O19" s="233"/>
      <c r="P19" s="16"/>
    </row>
    <row r="20" spans="3:16" ht="18.75" x14ac:dyDescent="0.3">
      <c r="C20" s="16"/>
      <c r="D20" s="16"/>
      <c r="E20" s="16"/>
      <c r="F20" s="16"/>
      <c r="G20" s="16"/>
      <c r="H20" s="16"/>
      <c r="K20" s="16"/>
      <c r="L20" s="16"/>
      <c r="M20" s="16"/>
      <c r="N20" s="16"/>
      <c r="O20" s="16"/>
      <c r="P20" s="16"/>
    </row>
    <row r="21" spans="3:16" ht="15.75" x14ac:dyDescent="0.25">
      <c r="D21" s="54" t="s">
        <v>73</v>
      </c>
      <c r="F21" s="233" t="s">
        <v>74</v>
      </c>
      <c r="G21" s="233"/>
      <c r="L21" s="54" t="s">
        <v>73</v>
      </c>
      <c r="N21" s="233" t="s">
        <v>74</v>
      </c>
      <c r="O21" s="233"/>
    </row>
    <row r="22" spans="3:16" ht="15.75" x14ac:dyDescent="0.25">
      <c r="D22" s="235"/>
      <c r="E22" s="235"/>
      <c r="F22" s="235"/>
      <c r="G22" s="235"/>
    </row>
    <row r="23" spans="3:16" ht="18.75" x14ac:dyDescent="0.3">
      <c r="C23" s="16"/>
      <c r="D23" s="236"/>
      <c r="E23" s="236"/>
      <c r="F23" s="236"/>
      <c r="G23" s="236"/>
      <c r="H23" s="16"/>
    </row>
    <row r="24" spans="3:16" ht="18.75" x14ac:dyDescent="0.3">
      <c r="C24" s="16"/>
      <c r="D24" s="111"/>
      <c r="E24" s="111"/>
      <c r="F24" s="111"/>
      <c r="G24" s="111"/>
      <c r="H24" s="16"/>
    </row>
    <row r="25" spans="3:16" ht="18.75" x14ac:dyDescent="0.3">
      <c r="C25" s="16"/>
      <c r="D25" s="234" t="s">
        <v>78</v>
      </c>
      <c r="E25" s="234"/>
      <c r="F25" s="234"/>
      <c r="G25" s="234"/>
      <c r="H25" s="16"/>
    </row>
    <row r="26" spans="3:16" ht="18.75" x14ac:dyDescent="0.3">
      <c r="C26" s="16"/>
      <c r="D26" s="111"/>
      <c r="E26" s="111"/>
      <c r="F26" s="111"/>
      <c r="G26" s="111"/>
      <c r="H26" s="16"/>
    </row>
    <row r="27" spans="3:16" ht="37.5" x14ac:dyDescent="0.3">
      <c r="C27" s="14" t="s">
        <v>9</v>
      </c>
      <c r="D27" s="14" t="s">
        <v>23</v>
      </c>
      <c r="E27" s="14"/>
      <c r="F27" s="14" t="s">
        <v>24</v>
      </c>
      <c r="G27" s="15" t="s">
        <v>16</v>
      </c>
      <c r="H27" s="15" t="s">
        <v>17</v>
      </c>
    </row>
    <row r="28" spans="3:16" ht="37.5" x14ac:dyDescent="0.3">
      <c r="C28" s="9">
        <v>1</v>
      </c>
      <c r="D28" s="10" t="s">
        <v>22</v>
      </c>
      <c r="E28" s="9"/>
      <c r="F28" s="11">
        <v>43552.58</v>
      </c>
      <c r="G28" s="11">
        <f>SUM(F28*30%)</f>
        <v>13065.773999999999</v>
      </c>
      <c r="H28" s="9">
        <f>SUM(F28*70%)</f>
        <v>30486.806</v>
      </c>
    </row>
    <row r="29" spans="3:16" ht="18.75" x14ac:dyDescent="0.3">
      <c r="C29" s="9">
        <v>2</v>
      </c>
      <c r="D29" s="9" t="s">
        <v>25</v>
      </c>
      <c r="E29" s="9"/>
      <c r="F29" s="11">
        <v>103641</v>
      </c>
      <c r="G29" s="11">
        <f t="shared" ref="G29:G30" si="0">SUM(F29*30%)</f>
        <v>31092.3</v>
      </c>
      <c r="H29" s="11">
        <f t="shared" ref="H29:H30" si="1">SUM(F29*70%)</f>
        <v>72548.7</v>
      </c>
    </row>
    <row r="30" spans="3:16" ht="18.75" x14ac:dyDescent="0.3">
      <c r="C30" s="9">
        <v>3</v>
      </c>
      <c r="D30" s="9" t="s">
        <v>26</v>
      </c>
      <c r="E30" s="9"/>
      <c r="F30" s="11">
        <v>34002</v>
      </c>
      <c r="G30" s="11">
        <f t="shared" si="0"/>
        <v>10200.6</v>
      </c>
      <c r="H30" s="11">
        <f t="shared" si="1"/>
        <v>23801.399999999998</v>
      </c>
    </row>
    <row r="31" spans="3:16" ht="18.75" x14ac:dyDescent="0.3">
      <c r="C31" s="9"/>
      <c r="D31" s="9"/>
      <c r="E31" s="9"/>
      <c r="F31" s="9"/>
      <c r="G31" s="9"/>
      <c r="H31" s="9"/>
    </row>
    <row r="32" spans="3:16" ht="18.75" x14ac:dyDescent="0.3">
      <c r="C32" s="9"/>
      <c r="D32" s="12" t="s">
        <v>15</v>
      </c>
      <c r="E32" s="9"/>
      <c r="F32" s="13">
        <f>SUM(F28:F31)</f>
        <v>181195.58000000002</v>
      </c>
      <c r="G32" s="12">
        <f>SUM(G28:G31)</f>
        <v>54358.673999999999</v>
      </c>
      <c r="H32" s="12">
        <f>SUM(H28:H31)</f>
        <v>126836.90599999999</v>
      </c>
    </row>
    <row r="33" spans="3:14" ht="18.75" x14ac:dyDescent="0.3">
      <c r="C33" s="9"/>
      <c r="D33" s="9"/>
      <c r="E33" s="9"/>
      <c r="F33" s="9"/>
      <c r="G33" s="9"/>
      <c r="H33" s="9"/>
    </row>
    <row r="34" spans="3:14" ht="18.75" x14ac:dyDescent="0.3">
      <c r="C34" s="9"/>
      <c r="D34" s="12" t="s">
        <v>27</v>
      </c>
      <c r="E34" s="9"/>
      <c r="F34" s="13">
        <v>133203.6</v>
      </c>
      <c r="G34" s="13">
        <f t="shared" ref="G34:G36" si="2">SUM(F34*30%)</f>
        <v>39961.08</v>
      </c>
      <c r="H34" s="13">
        <f t="shared" ref="H34:H36" si="3">SUM(F34*70%)</f>
        <v>93242.52</v>
      </c>
    </row>
    <row r="35" spans="3:14" ht="18.75" x14ac:dyDescent="0.3">
      <c r="C35" s="9"/>
      <c r="D35" s="9"/>
      <c r="E35" s="9"/>
      <c r="F35" s="9"/>
      <c r="G35" s="9"/>
      <c r="H35" s="9"/>
    </row>
    <row r="36" spans="3:14" ht="18.75" x14ac:dyDescent="0.3">
      <c r="C36" s="9"/>
      <c r="D36" s="9" t="s">
        <v>28</v>
      </c>
      <c r="E36" s="9"/>
      <c r="F36" s="13">
        <v>2895620</v>
      </c>
      <c r="G36" s="13">
        <f t="shared" si="2"/>
        <v>868686</v>
      </c>
      <c r="H36" s="13">
        <f t="shared" si="3"/>
        <v>2026933.9999999998</v>
      </c>
      <c r="N36" s="24"/>
    </row>
    <row r="37" spans="3:14" ht="18.75" x14ac:dyDescent="0.3">
      <c r="C37" s="9"/>
      <c r="D37" s="9"/>
      <c r="E37" s="9"/>
      <c r="F37" s="9"/>
      <c r="G37" s="9"/>
      <c r="H37" s="9"/>
    </row>
    <row r="38" spans="3:14" ht="18.75" x14ac:dyDescent="0.3">
      <c r="C38" s="9"/>
      <c r="D38" s="12" t="s">
        <v>29</v>
      </c>
      <c r="E38" s="9"/>
      <c r="F38" s="13">
        <f>SUM(F13+F14+F32+F34+F36)</f>
        <v>5692199.1184</v>
      </c>
      <c r="G38" s="13">
        <f>SUM(G13+G14+G32+G34+G36)</f>
        <v>1707659.7355199999</v>
      </c>
      <c r="H38" s="12">
        <f>SUM(H13+H14+H32+H34+H36)</f>
        <v>3984539.3828799995</v>
      </c>
    </row>
    <row r="39" spans="3:14" ht="18.75" x14ac:dyDescent="0.3">
      <c r="C39" s="112"/>
      <c r="D39" s="113"/>
      <c r="E39" s="112"/>
      <c r="F39" s="114"/>
      <c r="G39" s="114"/>
      <c r="H39" s="113"/>
    </row>
    <row r="40" spans="3:14" ht="18.75" x14ac:dyDescent="0.3">
      <c r="C40" s="16"/>
      <c r="D40" s="47"/>
      <c r="E40" s="16"/>
      <c r="F40" s="47"/>
      <c r="G40" s="16"/>
      <c r="H40" s="16"/>
    </row>
    <row r="41" spans="3:14" ht="18.75" x14ac:dyDescent="0.3">
      <c r="C41" s="16"/>
      <c r="D41" s="16"/>
      <c r="E41" s="16"/>
      <c r="F41" s="16"/>
      <c r="G41" s="16"/>
      <c r="H41" s="16"/>
    </row>
    <row r="42" spans="3:14" ht="15.75" x14ac:dyDescent="0.25">
      <c r="D42" s="54" t="s">
        <v>71</v>
      </c>
      <c r="E42" s="233" t="s">
        <v>72</v>
      </c>
      <c r="F42" s="233"/>
    </row>
    <row r="45" spans="3:14" ht="15.75" x14ac:dyDescent="0.25">
      <c r="D45" s="54" t="s">
        <v>73</v>
      </c>
      <c r="E45" s="233" t="s">
        <v>74</v>
      </c>
      <c r="F45" s="233"/>
    </row>
  </sheetData>
  <mergeCells count="11">
    <mergeCell ref="D25:G25"/>
    <mergeCell ref="E45:F45"/>
    <mergeCell ref="E42:F42"/>
    <mergeCell ref="C3:H3"/>
    <mergeCell ref="K3:P3"/>
    <mergeCell ref="D22:G22"/>
    <mergeCell ref="D23:G23"/>
    <mergeCell ref="F19:G19"/>
    <mergeCell ref="F21:G21"/>
    <mergeCell ref="N19:O19"/>
    <mergeCell ref="N21:O21"/>
  </mergeCells>
  <pageMargins left="0.70866141732283472" right="0.70866141732283472" top="0.74803149606299213" bottom="0.74803149606299213" header="0.31496062992125984" footer="0.31496062992125984"/>
  <pageSetup paperSize="9"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4"/>
  <sheetViews>
    <sheetView workbookViewId="0">
      <selection activeCell="B87" sqref="B87:P87"/>
    </sheetView>
  </sheetViews>
  <sheetFormatPr defaultRowHeight="12.75" x14ac:dyDescent="0.2"/>
  <cols>
    <col min="2" max="2" width="18.42578125" customWidth="1"/>
    <col min="3" max="3" width="14.42578125" customWidth="1"/>
    <col min="4" max="4" width="13.5703125" customWidth="1"/>
    <col min="5" max="5" width="14.28515625" customWidth="1"/>
    <col min="6" max="6" width="12.7109375" bestFit="1" customWidth="1"/>
    <col min="7" max="7" width="10.42578125" customWidth="1"/>
    <col min="8" max="8" width="13.42578125" customWidth="1"/>
    <col min="10" max="10" width="9.7109375" customWidth="1"/>
    <col min="11" max="11" width="10.85546875" customWidth="1"/>
    <col min="12" max="12" width="11.7109375" customWidth="1"/>
    <col min="13" max="13" width="13.5703125" customWidth="1"/>
    <col min="16" max="16" width="18.5703125" customWidth="1"/>
    <col min="255" max="255" width="18.42578125" customWidth="1"/>
    <col min="256" max="256" width="14.42578125" customWidth="1"/>
    <col min="257" max="257" width="13.5703125" customWidth="1"/>
    <col min="258" max="258" width="14.28515625" customWidth="1"/>
    <col min="260" max="260" width="10.42578125" customWidth="1"/>
    <col min="261" max="261" width="13.42578125" customWidth="1"/>
    <col min="263" max="263" width="9.7109375" customWidth="1"/>
    <col min="264" max="264" width="10.85546875" customWidth="1"/>
    <col min="268" max="268" width="11.7109375" customWidth="1"/>
    <col min="272" max="272" width="18.5703125" customWidth="1"/>
    <col min="511" max="511" width="18.42578125" customWidth="1"/>
    <col min="512" max="512" width="14.42578125" customWidth="1"/>
    <col min="513" max="513" width="13.5703125" customWidth="1"/>
    <col min="514" max="514" width="14.28515625" customWidth="1"/>
    <col min="516" max="516" width="10.42578125" customWidth="1"/>
    <col min="517" max="517" width="13.42578125" customWidth="1"/>
    <col min="519" max="519" width="9.7109375" customWidth="1"/>
    <col min="520" max="520" width="10.85546875" customWidth="1"/>
    <col min="524" max="524" width="11.7109375" customWidth="1"/>
    <col min="528" max="528" width="18.5703125" customWidth="1"/>
    <col min="767" max="767" width="18.42578125" customWidth="1"/>
    <col min="768" max="768" width="14.42578125" customWidth="1"/>
    <col min="769" max="769" width="13.5703125" customWidth="1"/>
    <col min="770" max="770" width="14.28515625" customWidth="1"/>
    <col min="772" max="772" width="10.42578125" customWidth="1"/>
    <col min="773" max="773" width="13.42578125" customWidth="1"/>
    <col min="775" max="775" width="9.7109375" customWidth="1"/>
    <col min="776" max="776" width="10.85546875" customWidth="1"/>
    <col min="780" max="780" width="11.7109375" customWidth="1"/>
    <col min="784" max="784" width="18.5703125" customWidth="1"/>
    <col min="1023" max="1023" width="18.42578125" customWidth="1"/>
    <col min="1024" max="1024" width="14.42578125" customWidth="1"/>
    <col min="1025" max="1025" width="13.5703125" customWidth="1"/>
    <col min="1026" max="1026" width="14.28515625" customWidth="1"/>
    <col min="1028" max="1028" width="10.42578125" customWidth="1"/>
    <col min="1029" max="1029" width="13.42578125" customWidth="1"/>
    <col min="1031" max="1031" width="9.7109375" customWidth="1"/>
    <col min="1032" max="1032" width="10.85546875" customWidth="1"/>
    <col min="1036" max="1036" width="11.7109375" customWidth="1"/>
    <col min="1040" max="1040" width="18.5703125" customWidth="1"/>
    <col min="1279" max="1279" width="18.42578125" customWidth="1"/>
    <col min="1280" max="1280" width="14.42578125" customWidth="1"/>
    <col min="1281" max="1281" width="13.5703125" customWidth="1"/>
    <col min="1282" max="1282" width="14.28515625" customWidth="1"/>
    <col min="1284" max="1284" width="10.42578125" customWidth="1"/>
    <col min="1285" max="1285" width="13.42578125" customWidth="1"/>
    <col min="1287" max="1287" width="9.7109375" customWidth="1"/>
    <col min="1288" max="1288" width="10.85546875" customWidth="1"/>
    <col min="1292" max="1292" width="11.7109375" customWidth="1"/>
    <col min="1296" max="1296" width="18.5703125" customWidth="1"/>
    <col min="1535" max="1535" width="18.42578125" customWidth="1"/>
    <col min="1536" max="1536" width="14.42578125" customWidth="1"/>
    <col min="1537" max="1537" width="13.5703125" customWidth="1"/>
    <col min="1538" max="1538" width="14.28515625" customWidth="1"/>
    <col min="1540" max="1540" width="10.42578125" customWidth="1"/>
    <col min="1541" max="1541" width="13.42578125" customWidth="1"/>
    <col min="1543" max="1543" width="9.7109375" customWidth="1"/>
    <col min="1544" max="1544" width="10.85546875" customWidth="1"/>
    <col min="1548" max="1548" width="11.7109375" customWidth="1"/>
    <col min="1552" max="1552" width="18.5703125" customWidth="1"/>
    <col min="1791" max="1791" width="18.42578125" customWidth="1"/>
    <col min="1792" max="1792" width="14.42578125" customWidth="1"/>
    <col min="1793" max="1793" width="13.5703125" customWidth="1"/>
    <col min="1794" max="1794" width="14.28515625" customWidth="1"/>
    <col min="1796" max="1796" width="10.42578125" customWidth="1"/>
    <col min="1797" max="1797" width="13.42578125" customWidth="1"/>
    <col min="1799" max="1799" width="9.7109375" customWidth="1"/>
    <col min="1800" max="1800" width="10.85546875" customWidth="1"/>
    <col min="1804" max="1804" width="11.7109375" customWidth="1"/>
    <col min="1808" max="1808" width="18.5703125" customWidth="1"/>
    <col min="2047" max="2047" width="18.42578125" customWidth="1"/>
    <col min="2048" max="2048" width="14.42578125" customWidth="1"/>
    <col min="2049" max="2049" width="13.5703125" customWidth="1"/>
    <col min="2050" max="2050" width="14.28515625" customWidth="1"/>
    <col min="2052" max="2052" width="10.42578125" customWidth="1"/>
    <col min="2053" max="2053" width="13.42578125" customWidth="1"/>
    <col min="2055" max="2055" width="9.7109375" customWidth="1"/>
    <col min="2056" max="2056" width="10.85546875" customWidth="1"/>
    <col min="2060" max="2060" width="11.7109375" customWidth="1"/>
    <col min="2064" max="2064" width="18.5703125" customWidth="1"/>
    <col min="2303" max="2303" width="18.42578125" customWidth="1"/>
    <col min="2304" max="2304" width="14.42578125" customWidth="1"/>
    <col min="2305" max="2305" width="13.5703125" customWidth="1"/>
    <col min="2306" max="2306" width="14.28515625" customWidth="1"/>
    <col min="2308" max="2308" width="10.42578125" customWidth="1"/>
    <col min="2309" max="2309" width="13.42578125" customWidth="1"/>
    <col min="2311" max="2311" width="9.7109375" customWidth="1"/>
    <col min="2312" max="2312" width="10.85546875" customWidth="1"/>
    <col min="2316" max="2316" width="11.7109375" customWidth="1"/>
    <col min="2320" max="2320" width="18.5703125" customWidth="1"/>
    <col min="2559" max="2559" width="18.42578125" customWidth="1"/>
    <col min="2560" max="2560" width="14.42578125" customWidth="1"/>
    <col min="2561" max="2561" width="13.5703125" customWidth="1"/>
    <col min="2562" max="2562" width="14.28515625" customWidth="1"/>
    <col min="2564" max="2564" width="10.42578125" customWidth="1"/>
    <col min="2565" max="2565" width="13.42578125" customWidth="1"/>
    <col min="2567" max="2567" width="9.7109375" customWidth="1"/>
    <col min="2568" max="2568" width="10.85546875" customWidth="1"/>
    <col min="2572" max="2572" width="11.7109375" customWidth="1"/>
    <col min="2576" max="2576" width="18.5703125" customWidth="1"/>
    <col min="2815" max="2815" width="18.42578125" customWidth="1"/>
    <col min="2816" max="2816" width="14.42578125" customWidth="1"/>
    <col min="2817" max="2817" width="13.5703125" customWidth="1"/>
    <col min="2818" max="2818" width="14.28515625" customWidth="1"/>
    <col min="2820" max="2820" width="10.42578125" customWidth="1"/>
    <col min="2821" max="2821" width="13.42578125" customWidth="1"/>
    <col min="2823" max="2823" width="9.7109375" customWidth="1"/>
    <col min="2824" max="2824" width="10.85546875" customWidth="1"/>
    <col min="2828" max="2828" width="11.7109375" customWidth="1"/>
    <col min="2832" max="2832" width="18.5703125" customWidth="1"/>
    <col min="3071" max="3071" width="18.42578125" customWidth="1"/>
    <col min="3072" max="3072" width="14.42578125" customWidth="1"/>
    <col min="3073" max="3073" width="13.5703125" customWidth="1"/>
    <col min="3074" max="3074" width="14.28515625" customWidth="1"/>
    <col min="3076" max="3076" width="10.42578125" customWidth="1"/>
    <col min="3077" max="3077" width="13.42578125" customWidth="1"/>
    <col min="3079" max="3079" width="9.7109375" customWidth="1"/>
    <col min="3080" max="3080" width="10.85546875" customWidth="1"/>
    <col min="3084" max="3084" width="11.7109375" customWidth="1"/>
    <col min="3088" max="3088" width="18.5703125" customWidth="1"/>
    <col min="3327" max="3327" width="18.42578125" customWidth="1"/>
    <col min="3328" max="3328" width="14.42578125" customWidth="1"/>
    <col min="3329" max="3329" width="13.5703125" customWidth="1"/>
    <col min="3330" max="3330" width="14.28515625" customWidth="1"/>
    <col min="3332" max="3332" width="10.42578125" customWidth="1"/>
    <col min="3333" max="3333" width="13.42578125" customWidth="1"/>
    <col min="3335" max="3335" width="9.7109375" customWidth="1"/>
    <col min="3336" max="3336" width="10.85546875" customWidth="1"/>
    <col min="3340" max="3340" width="11.7109375" customWidth="1"/>
    <col min="3344" max="3344" width="18.5703125" customWidth="1"/>
    <col min="3583" max="3583" width="18.42578125" customWidth="1"/>
    <col min="3584" max="3584" width="14.42578125" customWidth="1"/>
    <col min="3585" max="3585" width="13.5703125" customWidth="1"/>
    <col min="3586" max="3586" width="14.28515625" customWidth="1"/>
    <col min="3588" max="3588" width="10.42578125" customWidth="1"/>
    <col min="3589" max="3589" width="13.42578125" customWidth="1"/>
    <col min="3591" max="3591" width="9.7109375" customWidth="1"/>
    <col min="3592" max="3592" width="10.85546875" customWidth="1"/>
    <col min="3596" max="3596" width="11.7109375" customWidth="1"/>
    <col min="3600" max="3600" width="18.5703125" customWidth="1"/>
    <col min="3839" max="3839" width="18.42578125" customWidth="1"/>
    <col min="3840" max="3840" width="14.42578125" customWidth="1"/>
    <col min="3841" max="3841" width="13.5703125" customWidth="1"/>
    <col min="3842" max="3842" width="14.28515625" customWidth="1"/>
    <col min="3844" max="3844" width="10.42578125" customWidth="1"/>
    <col min="3845" max="3845" width="13.42578125" customWidth="1"/>
    <col min="3847" max="3847" width="9.7109375" customWidth="1"/>
    <col min="3848" max="3848" width="10.85546875" customWidth="1"/>
    <col min="3852" max="3852" width="11.7109375" customWidth="1"/>
    <col min="3856" max="3856" width="18.5703125" customWidth="1"/>
    <col min="4095" max="4095" width="18.42578125" customWidth="1"/>
    <col min="4096" max="4096" width="14.42578125" customWidth="1"/>
    <col min="4097" max="4097" width="13.5703125" customWidth="1"/>
    <col min="4098" max="4098" width="14.28515625" customWidth="1"/>
    <col min="4100" max="4100" width="10.42578125" customWidth="1"/>
    <col min="4101" max="4101" width="13.42578125" customWidth="1"/>
    <col min="4103" max="4103" width="9.7109375" customWidth="1"/>
    <col min="4104" max="4104" width="10.85546875" customWidth="1"/>
    <col min="4108" max="4108" width="11.7109375" customWidth="1"/>
    <col min="4112" max="4112" width="18.5703125" customWidth="1"/>
    <col min="4351" max="4351" width="18.42578125" customWidth="1"/>
    <col min="4352" max="4352" width="14.42578125" customWidth="1"/>
    <col min="4353" max="4353" width="13.5703125" customWidth="1"/>
    <col min="4354" max="4354" width="14.28515625" customWidth="1"/>
    <col min="4356" max="4356" width="10.42578125" customWidth="1"/>
    <col min="4357" max="4357" width="13.42578125" customWidth="1"/>
    <col min="4359" max="4359" width="9.7109375" customWidth="1"/>
    <col min="4360" max="4360" width="10.85546875" customWidth="1"/>
    <col min="4364" max="4364" width="11.7109375" customWidth="1"/>
    <col min="4368" max="4368" width="18.5703125" customWidth="1"/>
    <col min="4607" max="4607" width="18.42578125" customWidth="1"/>
    <col min="4608" max="4608" width="14.42578125" customWidth="1"/>
    <col min="4609" max="4609" width="13.5703125" customWidth="1"/>
    <col min="4610" max="4610" width="14.28515625" customWidth="1"/>
    <col min="4612" max="4612" width="10.42578125" customWidth="1"/>
    <col min="4613" max="4613" width="13.42578125" customWidth="1"/>
    <col min="4615" max="4615" width="9.7109375" customWidth="1"/>
    <col min="4616" max="4616" width="10.85546875" customWidth="1"/>
    <col min="4620" max="4620" width="11.7109375" customWidth="1"/>
    <col min="4624" max="4624" width="18.5703125" customWidth="1"/>
    <col min="4863" max="4863" width="18.42578125" customWidth="1"/>
    <col min="4864" max="4864" width="14.42578125" customWidth="1"/>
    <col min="4865" max="4865" width="13.5703125" customWidth="1"/>
    <col min="4866" max="4866" width="14.28515625" customWidth="1"/>
    <col min="4868" max="4868" width="10.42578125" customWidth="1"/>
    <col min="4869" max="4869" width="13.42578125" customWidth="1"/>
    <col min="4871" max="4871" width="9.7109375" customWidth="1"/>
    <col min="4872" max="4872" width="10.85546875" customWidth="1"/>
    <col min="4876" max="4876" width="11.7109375" customWidth="1"/>
    <col min="4880" max="4880" width="18.5703125" customWidth="1"/>
    <col min="5119" max="5119" width="18.42578125" customWidth="1"/>
    <col min="5120" max="5120" width="14.42578125" customWidth="1"/>
    <col min="5121" max="5121" width="13.5703125" customWidth="1"/>
    <col min="5122" max="5122" width="14.28515625" customWidth="1"/>
    <col min="5124" max="5124" width="10.42578125" customWidth="1"/>
    <col min="5125" max="5125" width="13.42578125" customWidth="1"/>
    <col min="5127" max="5127" width="9.7109375" customWidth="1"/>
    <col min="5128" max="5128" width="10.85546875" customWidth="1"/>
    <col min="5132" max="5132" width="11.7109375" customWidth="1"/>
    <col min="5136" max="5136" width="18.5703125" customWidth="1"/>
    <col min="5375" max="5375" width="18.42578125" customWidth="1"/>
    <col min="5376" max="5376" width="14.42578125" customWidth="1"/>
    <col min="5377" max="5377" width="13.5703125" customWidth="1"/>
    <col min="5378" max="5378" width="14.28515625" customWidth="1"/>
    <col min="5380" max="5380" width="10.42578125" customWidth="1"/>
    <col min="5381" max="5381" width="13.42578125" customWidth="1"/>
    <col min="5383" max="5383" width="9.7109375" customWidth="1"/>
    <col min="5384" max="5384" width="10.85546875" customWidth="1"/>
    <col min="5388" max="5388" width="11.7109375" customWidth="1"/>
    <col min="5392" max="5392" width="18.5703125" customWidth="1"/>
    <col min="5631" max="5631" width="18.42578125" customWidth="1"/>
    <col min="5632" max="5632" width="14.42578125" customWidth="1"/>
    <col min="5633" max="5633" width="13.5703125" customWidth="1"/>
    <col min="5634" max="5634" width="14.28515625" customWidth="1"/>
    <col min="5636" max="5636" width="10.42578125" customWidth="1"/>
    <col min="5637" max="5637" width="13.42578125" customWidth="1"/>
    <col min="5639" max="5639" width="9.7109375" customWidth="1"/>
    <col min="5640" max="5640" width="10.85546875" customWidth="1"/>
    <col min="5644" max="5644" width="11.7109375" customWidth="1"/>
    <col min="5648" max="5648" width="18.5703125" customWidth="1"/>
    <col min="5887" max="5887" width="18.42578125" customWidth="1"/>
    <col min="5888" max="5888" width="14.42578125" customWidth="1"/>
    <col min="5889" max="5889" width="13.5703125" customWidth="1"/>
    <col min="5890" max="5890" width="14.28515625" customWidth="1"/>
    <col min="5892" max="5892" width="10.42578125" customWidth="1"/>
    <col min="5893" max="5893" width="13.42578125" customWidth="1"/>
    <col min="5895" max="5895" width="9.7109375" customWidth="1"/>
    <col min="5896" max="5896" width="10.85546875" customWidth="1"/>
    <col min="5900" max="5900" width="11.7109375" customWidth="1"/>
    <col min="5904" max="5904" width="18.5703125" customWidth="1"/>
    <col min="6143" max="6143" width="18.42578125" customWidth="1"/>
    <col min="6144" max="6144" width="14.42578125" customWidth="1"/>
    <col min="6145" max="6145" width="13.5703125" customWidth="1"/>
    <col min="6146" max="6146" width="14.28515625" customWidth="1"/>
    <col min="6148" max="6148" width="10.42578125" customWidth="1"/>
    <col min="6149" max="6149" width="13.42578125" customWidth="1"/>
    <col min="6151" max="6151" width="9.7109375" customWidth="1"/>
    <col min="6152" max="6152" width="10.85546875" customWidth="1"/>
    <col min="6156" max="6156" width="11.7109375" customWidth="1"/>
    <col min="6160" max="6160" width="18.5703125" customWidth="1"/>
    <col min="6399" max="6399" width="18.42578125" customWidth="1"/>
    <col min="6400" max="6400" width="14.42578125" customWidth="1"/>
    <col min="6401" max="6401" width="13.5703125" customWidth="1"/>
    <col min="6402" max="6402" width="14.28515625" customWidth="1"/>
    <col min="6404" max="6404" width="10.42578125" customWidth="1"/>
    <col min="6405" max="6405" width="13.42578125" customWidth="1"/>
    <col min="6407" max="6407" width="9.7109375" customWidth="1"/>
    <col min="6408" max="6408" width="10.85546875" customWidth="1"/>
    <col min="6412" max="6412" width="11.7109375" customWidth="1"/>
    <col min="6416" max="6416" width="18.5703125" customWidth="1"/>
    <col min="6655" max="6655" width="18.42578125" customWidth="1"/>
    <col min="6656" max="6656" width="14.42578125" customWidth="1"/>
    <col min="6657" max="6657" width="13.5703125" customWidth="1"/>
    <col min="6658" max="6658" width="14.28515625" customWidth="1"/>
    <col min="6660" max="6660" width="10.42578125" customWidth="1"/>
    <col min="6661" max="6661" width="13.42578125" customWidth="1"/>
    <col min="6663" max="6663" width="9.7109375" customWidth="1"/>
    <col min="6664" max="6664" width="10.85546875" customWidth="1"/>
    <col min="6668" max="6668" width="11.7109375" customWidth="1"/>
    <col min="6672" max="6672" width="18.5703125" customWidth="1"/>
    <col min="6911" max="6911" width="18.42578125" customWidth="1"/>
    <col min="6912" max="6912" width="14.42578125" customWidth="1"/>
    <col min="6913" max="6913" width="13.5703125" customWidth="1"/>
    <col min="6914" max="6914" width="14.28515625" customWidth="1"/>
    <col min="6916" max="6916" width="10.42578125" customWidth="1"/>
    <col min="6917" max="6917" width="13.42578125" customWidth="1"/>
    <col min="6919" max="6919" width="9.7109375" customWidth="1"/>
    <col min="6920" max="6920" width="10.85546875" customWidth="1"/>
    <col min="6924" max="6924" width="11.7109375" customWidth="1"/>
    <col min="6928" max="6928" width="18.5703125" customWidth="1"/>
    <col min="7167" max="7167" width="18.42578125" customWidth="1"/>
    <col min="7168" max="7168" width="14.42578125" customWidth="1"/>
    <col min="7169" max="7169" width="13.5703125" customWidth="1"/>
    <col min="7170" max="7170" width="14.28515625" customWidth="1"/>
    <col min="7172" max="7172" width="10.42578125" customWidth="1"/>
    <col min="7173" max="7173" width="13.42578125" customWidth="1"/>
    <col min="7175" max="7175" width="9.7109375" customWidth="1"/>
    <col min="7176" max="7176" width="10.85546875" customWidth="1"/>
    <col min="7180" max="7180" width="11.7109375" customWidth="1"/>
    <col min="7184" max="7184" width="18.5703125" customWidth="1"/>
    <col min="7423" max="7423" width="18.42578125" customWidth="1"/>
    <col min="7424" max="7424" width="14.42578125" customWidth="1"/>
    <col min="7425" max="7425" width="13.5703125" customWidth="1"/>
    <col min="7426" max="7426" width="14.28515625" customWidth="1"/>
    <col min="7428" max="7428" width="10.42578125" customWidth="1"/>
    <col min="7429" max="7429" width="13.42578125" customWidth="1"/>
    <col min="7431" max="7431" width="9.7109375" customWidth="1"/>
    <col min="7432" max="7432" width="10.85546875" customWidth="1"/>
    <col min="7436" max="7436" width="11.7109375" customWidth="1"/>
    <col min="7440" max="7440" width="18.5703125" customWidth="1"/>
    <col min="7679" max="7679" width="18.42578125" customWidth="1"/>
    <col min="7680" max="7680" width="14.42578125" customWidth="1"/>
    <col min="7681" max="7681" width="13.5703125" customWidth="1"/>
    <col min="7682" max="7682" width="14.28515625" customWidth="1"/>
    <col min="7684" max="7684" width="10.42578125" customWidth="1"/>
    <col min="7685" max="7685" width="13.42578125" customWidth="1"/>
    <col min="7687" max="7687" width="9.7109375" customWidth="1"/>
    <col min="7688" max="7688" width="10.85546875" customWidth="1"/>
    <col min="7692" max="7692" width="11.7109375" customWidth="1"/>
    <col min="7696" max="7696" width="18.5703125" customWidth="1"/>
    <col min="7935" max="7935" width="18.42578125" customWidth="1"/>
    <col min="7936" max="7936" width="14.42578125" customWidth="1"/>
    <col min="7937" max="7937" width="13.5703125" customWidth="1"/>
    <col min="7938" max="7938" width="14.28515625" customWidth="1"/>
    <col min="7940" max="7940" width="10.42578125" customWidth="1"/>
    <col min="7941" max="7941" width="13.42578125" customWidth="1"/>
    <col min="7943" max="7943" width="9.7109375" customWidth="1"/>
    <col min="7944" max="7944" width="10.85546875" customWidth="1"/>
    <col min="7948" max="7948" width="11.7109375" customWidth="1"/>
    <col min="7952" max="7952" width="18.5703125" customWidth="1"/>
    <col min="8191" max="8191" width="18.42578125" customWidth="1"/>
    <col min="8192" max="8192" width="14.42578125" customWidth="1"/>
    <col min="8193" max="8193" width="13.5703125" customWidth="1"/>
    <col min="8194" max="8194" width="14.28515625" customWidth="1"/>
    <col min="8196" max="8196" width="10.42578125" customWidth="1"/>
    <col min="8197" max="8197" width="13.42578125" customWidth="1"/>
    <col min="8199" max="8199" width="9.7109375" customWidth="1"/>
    <col min="8200" max="8200" width="10.85546875" customWidth="1"/>
    <col min="8204" max="8204" width="11.7109375" customWidth="1"/>
    <col min="8208" max="8208" width="18.5703125" customWidth="1"/>
    <col min="8447" max="8447" width="18.42578125" customWidth="1"/>
    <col min="8448" max="8448" width="14.42578125" customWidth="1"/>
    <col min="8449" max="8449" width="13.5703125" customWidth="1"/>
    <col min="8450" max="8450" width="14.28515625" customWidth="1"/>
    <col min="8452" max="8452" width="10.42578125" customWidth="1"/>
    <col min="8453" max="8453" width="13.42578125" customWidth="1"/>
    <col min="8455" max="8455" width="9.7109375" customWidth="1"/>
    <col min="8456" max="8456" width="10.85546875" customWidth="1"/>
    <col min="8460" max="8460" width="11.7109375" customWidth="1"/>
    <col min="8464" max="8464" width="18.5703125" customWidth="1"/>
    <col min="8703" max="8703" width="18.42578125" customWidth="1"/>
    <col min="8704" max="8704" width="14.42578125" customWidth="1"/>
    <col min="8705" max="8705" width="13.5703125" customWidth="1"/>
    <col min="8706" max="8706" width="14.28515625" customWidth="1"/>
    <col min="8708" max="8708" width="10.42578125" customWidth="1"/>
    <col min="8709" max="8709" width="13.42578125" customWidth="1"/>
    <col min="8711" max="8711" width="9.7109375" customWidth="1"/>
    <col min="8712" max="8712" width="10.85546875" customWidth="1"/>
    <col min="8716" max="8716" width="11.7109375" customWidth="1"/>
    <col min="8720" max="8720" width="18.5703125" customWidth="1"/>
    <col min="8959" max="8959" width="18.42578125" customWidth="1"/>
    <col min="8960" max="8960" width="14.42578125" customWidth="1"/>
    <col min="8961" max="8961" width="13.5703125" customWidth="1"/>
    <col min="8962" max="8962" width="14.28515625" customWidth="1"/>
    <col min="8964" max="8964" width="10.42578125" customWidth="1"/>
    <col min="8965" max="8965" width="13.42578125" customWidth="1"/>
    <col min="8967" max="8967" width="9.7109375" customWidth="1"/>
    <col min="8968" max="8968" width="10.85546875" customWidth="1"/>
    <col min="8972" max="8972" width="11.7109375" customWidth="1"/>
    <col min="8976" max="8976" width="18.5703125" customWidth="1"/>
    <col min="9215" max="9215" width="18.42578125" customWidth="1"/>
    <col min="9216" max="9216" width="14.42578125" customWidth="1"/>
    <col min="9217" max="9217" width="13.5703125" customWidth="1"/>
    <col min="9218" max="9218" width="14.28515625" customWidth="1"/>
    <col min="9220" max="9220" width="10.42578125" customWidth="1"/>
    <col min="9221" max="9221" width="13.42578125" customWidth="1"/>
    <col min="9223" max="9223" width="9.7109375" customWidth="1"/>
    <col min="9224" max="9224" width="10.85546875" customWidth="1"/>
    <col min="9228" max="9228" width="11.7109375" customWidth="1"/>
    <col min="9232" max="9232" width="18.5703125" customWidth="1"/>
    <col min="9471" max="9471" width="18.42578125" customWidth="1"/>
    <col min="9472" max="9472" width="14.42578125" customWidth="1"/>
    <col min="9473" max="9473" width="13.5703125" customWidth="1"/>
    <col min="9474" max="9474" width="14.28515625" customWidth="1"/>
    <col min="9476" max="9476" width="10.42578125" customWidth="1"/>
    <col min="9477" max="9477" width="13.42578125" customWidth="1"/>
    <col min="9479" max="9479" width="9.7109375" customWidth="1"/>
    <col min="9480" max="9480" width="10.85546875" customWidth="1"/>
    <col min="9484" max="9484" width="11.7109375" customWidth="1"/>
    <col min="9488" max="9488" width="18.5703125" customWidth="1"/>
    <col min="9727" max="9727" width="18.42578125" customWidth="1"/>
    <col min="9728" max="9728" width="14.42578125" customWidth="1"/>
    <col min="9729" max="9729" width="13.5703125" customWidth="1"/>
    <col min="9730" max="9730" width="14.28515625" customWidth="1"/>
    <col min="9732" max="9732" width="10.42578125" customWidth="1"/>
    <col min="9733" max="9733" width="13.42578125" customWidth="1"/>
    <col min="9735" max="9735" width="9.7109375" customWidth="1"/>
    <col min="9736" max="9736" width="10.85546875" customWidth="1"/>
    <col min="9740" max="9740" width="11.7109375" customWidth="1"/>
    <col min="9744" max="9744" width="18.5703125" customWidth="1"/>
    <col min="9983" max="9983" width="18.42578125" customWidth="1"/>
    <col min="9984" max="9984" width="14.42578125" customWidth="1"/>
    <col min="9985" max="9985" width="13.5703125" customWidth="1"/>
    <col min="9986" max="9986" width="14.28515625" customWidth="1"/>
    <col min="9988" max="9988" width="10.42578125" customWidth="1"/>
    <col min="9989" max="9989" width="13.42578125" customWidth="1"/>
    <col min="9991" max="9991" width="9.7109375" customWidth="1"/>
    <col min="9992" max="9992" width="10.85546875" customWidth="1"/>
    <col min="9996" max="9996" width="11.7109375" customWidth="1"/>
    <col min="10000" max="10000" width="18.5703125" customWidth="1"/>
    <col min="10239" max="10239" width="18.42578125" customWidth="1"/>
    <col min="10240" max="10240" width="14.42578125" customWidth="1"/>
    <col min="10241" max="10241" width="13.5703125" customWidth="1"/>
    <col min="10242" max="10242" width="14.28515625" customWidth="1"/>
    <col min="10244" max="10244" width="10.42578125" customWidth="1"/>
    <col min="10245" max="10245" width="13.42578125" customWidth="1"/>
    <col min="10247" max="10247" width="9.7109375" customWidth="1"/>
    <col min="10248" max="10248" width="10.85546875" customWidth="1"/>
    <col min="10252" max="10252" width="11.7109375" customWidth="1"/>
    <col min="10256" max="10256" width="18.5703125" customWidth="1"/>
    <col min="10495" max="10495" width="18.42578125" customWidth="1"/>
    <col min="10496" max="10496" width="14.42578125" customWidth="1"/>
    <col min="10497" max="10497" width="13.5703125" customWidth="1"/>
    <col min="10498" max="10498" width="14.28515625" customWidth="1"/>
    <col min="10500" max="10500" width="10.42578125" customWidth="1"/>
    <col min="10501" max="10501" width="13.42578125" customWidth="1"/>
    <col min="10503" max="10503" width="9.7109375" customWidth="1"/>
    <col min="10504" max="10504" width="10.85546875" customWidth="1"/>
    <col min="10508" max="10508" width="11.7109375" customWidth="1"/>
    <col min="10512" max="10512" width="18.5703125" customWidth="1"/>
    <col min="10751" max="10751" width="18.42578125" customWidth="1"/>
    <col min="10752" max="10752" width="14.42578125" customWidth="1"/>
    <col min="10753" max="10753" width="13.5703125" customWidth="1"/>
    <col min="10754" max="10754" width="14.28515625" customWidth="1"/>
    <col min="10756" max="10756" width="10.42578125" customWidth="1"/>
    <col min="10757" max="10757" width="13.42578125" customWidth="1"/>
    <col min="10759" max="10759" width="9.7109375" customWidth="1"/>
    <col min="10760" max="10760" width="10.85546875" customWidth="1"/>
    <col min="10764" max="10764" width="11.7109375" customWidth="1"/>
    <col min="10768" max="10768" width="18.5703125" customWidth="1"/>
    <col min="11007" max="11007" width="18.42578125" customWidth="1"/>
    <col min="11008" max="11008" width="14.42578125" customWidth="1"/>
    <col min="11009" max="11009" width="13.5703125" customWidth="1"/>
    <col min="11010" max="11010" width="14.28515625" customWidth="1"/>
    <col min="11012" max="11012" width="10.42578125" customWidth="1"/>
    <col min="11013" max="11013" width="13.42578125" customWidth="1"/>
    <col min="11015" max="11015" width="9.7109375" customWidth="1"/>
    <col min="11016" max="11016" width="10.85546875" customWidth="1"/>
    <col min="11020" max="11020" width="11.7109375" customWidth="1"/>
    <col min="11024" max="11024" width="18.5703125" customWidth="1"/>
    <col min="11263" max="11263" width="18.42578125" customWidth="1"/>
    <col min="11264" max="11264" width="14.42578125" customWidth="1"/>
    <col min="11265" max="11265" width="13.5703125" customWidth="1"/>
    <col min="11266" max="11266" width="14.28515625" customWidth="1"/>
    <col min="11268" max="11268" width="10.42578125" customWidth="1"/>
    <col min="11269" max="11269" width="13.42578125" customWidth="1"/>
    <col min="11271" max="11271" width="9.7109375" customWidth="1"/>
    <col min="11272" max="11272" width="10.85546875" customWidth="1"/>
    <col min="11276" max="11276" width="11.7109375" customWidth="1"/>
    <col min="11280" max="11280" width="18.5703125" customWidth="1"/>
    <col min="11519" max="11519" width="18.42578125" customWidth="1"/>
    <col min="11520" max="11520" width="14.42578125" customWidth="1"/>
    <col min="11521" max="11521" width="13.5703125" customWidth="1"/>
    <col min="11522" max="11522" width="14.28515625" customWidth="1"/>
    <col min="11524" max="11524" width="10.42578125" customWidth="1"/>
    <col min="11525" max="11525" width="13.42578125" customWidth="1"/>
    <col min="11527" max="11527" width="9.7109375" customWidth="1"/>
    <col min="11528" max="11528" width="10.85546875" customWidth="1"/>
    <col min="11532" max="11532" width="11.7109375" customWidth="1"/>
    <col min="11536" max="11536" width="18.5703125" customWidth="1"/>
    <col min="11775" max="11775" width="18.42578125" customWidth="1"/>
    <col min="11776" max="11776" width="14.42578125" customWidth="1"/>
    <col min="11777" max="11777" width="13.5703125" customWidth="1"/>
    <col min="11778" max="11778" width="14.28515625" customWidth="1"/>
    <col min="11780" max="11780" width="10.42578125" customWidth="1"/>
    <col min="11781" max="11781" width="13.42578125" customWidth="1"/>
    <col min="11783" max="11783" width="9.7109375" customWidth="1"/>
    <col min="11784" max="11784" width="10.85546875" customWidth="1"/>
    <col min="11788" max="11788" width="11.7109375" customWidth="1"/>
    <col min="11792" max="11792" width="18.5703125" customWidth="1"/>
    <col min="12031" max="12031" width="18.42578125" customWidth="1"/>
    <col min="12032" max="12032" width="14.42578125" customWidth="1"/>
    <col min="12033" max="12033" width="13.5703125" customWidth="1"/>
    <col min="12034" max="12034" width="14.28515625" customWidth="1"/>
    <col min="12036" max="12036" width="10.42578125" customWidth="1"/>
    <col min="12037" max="12037" width="13.42578125" customWidth="1"/>
    <col min="12039" max="12039" width="9.7109375" customWidth="1"/>
    <col min="12040" max="12040" width="10.85546875" customWidth="1"/>
    <col min="12044" max="12044" width="11.7109375" customWidth="1"/>
    <col min="12048" max="12048" width="18.5703125" customWidth="1"/>
    <col min="12287" max="12287" width="18.42578125" customWidth="1"/>
    <col min="12288" max="12288" width="14.42578125" customWidth="1"/>
    <col min="12289" max="12289" width="13.5703125" customWidth="1"/>
    <col min="12290" max="12290" width="14.28515625" customWidth="1"/>
    <col min="12292" max="12292" width="10.42578125" customWidth="1"/>
    <col min="12293" max="12293" width="13.42578125" customWidth="1"/>
    <col min="12295" max="12295" width="9.7109375" customWidth="1"/>
    <col min="12296" max="12296" width="10.85546875" customWidth="1"/>
    <col min="12300" max="12300" width="11.7109375" customWidth="1"/>
    <col min="12304" max="12304" width="18.5703125" customWidth="1"/>
    <col min="12543" max="12543" width="18.42578125" customWidth="1"/>
    <col min="12544" max="12544" width="14.42578125" customWidth="1"/>
    <col min="12545" max="12545" width="13.5703125" customWidth="1"/>
    <col min="12546" max="12546" width="14.28515625" customWidth="1"/>
    <col min="12548" max="12548" width="10.42578125" customWidth="1"/>
    <col min="12549" max="12549" width="13.42578125" customWidth="1"/>
    <col min="12551" max="12551" width="9.7109375" customWidth="1"/>
    <col min="12552" max="12552" width="10.85546875" customWidth="1"/>
    <col min="12556" max="12556" width="11.7109375" customWidth="1"/>
    <col min="12560" max="12560" width="18.5703125" customWidth="1"/>
    <col min="12799" max="12799" width="18.42578125" customWidth="1"/>
    <col min="12800" max="12800" width="14.42578125" customWidth="1"/>
    <col min="12801" max="12801" width="13.5703125" customWidth="1"/>
    <col min="12802" max="12802" width="14.28515625" customWidth="1"/>
    <col min="12804" max="12804" width="10.42578125" customWidth="1"/>
    <col min="12805" max="12805" width="13.42578125" customWidth="1"/>
    <col min="12807" max="12807" width="9.7109375" customWidth="1"/>
    <col min="12808" max="12808" width="10.85546875" customWidth="1"/>
    <col min="12812" max="12812" width="11.7109375" customWidth="1"/>
    <col min="12816" max="12816" width="18.5703125" customWidth="1"/>
    <col min="13055" max="13055" width="18.42578125" customWidth="1"/>
    <col min="13056" max="13056" width="14.42578125" customWidth="1"/>
    <col min="13057" max="13057" width="13.5703125" customWidth="1"/>
    <col min="13058" max="13058" width="14.28515625" customWidth="1"/>
    <col min="13060" max="13060" width="10.42578125" customWidth="1"/>
    <col min="13061" max="13061" width="13.42578125" customWidth="1"/>
    <col min="13063" max="13063" width="9.7109375" customWidth="1"/>
    <col min="13064" max="13064" width="10.85546875" customWidth="1"/>
    <col min="13068" max="13068" width="11.7109375" customWidth="1"/>
    <col min="13072" max="13072" width="18.5703125" customWidth="1"/>
    <col min="13311" max="13311" width="18.42578125" customWidth="1"/>
    <col min="13312" max="13312" width="14.42578125" customWidth="1"/>
    <col min="13313" max="13313" width="13.5703125" customWidth="1"/>
    <col min="13314" max="13314" width="14.28515625" customWidth="1"/>
    <col min="13316" max="13316" width="10.42578125" customWidth="1"/>
    <col min="13317" max="13317" width="13.42578125" customWidth="1"/>
    <col min="13319" max="13319" width="9.7109375" customWidth="1"/>
    <col min="13320" max="13320" width="10.85546875" customWidth="1"/>
    <col min="13324" max="13324" width="11.7109375" customWidth="1"/>
    <col min="13328" max="13328" width="18.5703125" customWidth="1"/>
    <col min="13567" max="13567" width="18.42578125" customWidth="1"/>
    <col min="13568" max="13568" width="14.42578125" customWidth="1"/>
    <col min="13569" max="13569" width="13.5703125" customWidth="1"/>
    <col min="13570" max="13570" width="14.28515625" customWidth="1"/>
    <col min="13572" max="13572" width="10.42578125" customWidth="1"/>
    <col min="13573" max="13573" width="13.42578125" customWidth="1"/>
    <col min="13575" max="13575" width="9.7109375" customWidth="1"/>
    <col min="13576" max="13576" width="10.85546875" customWidth="1"/>
    <col min="13580" max="13580" width="11.7109375" customWidth="1"/>
    <col min="13584" max="13584" width="18.5703125" customWidth="1"/>
    <col min="13823" max="13823" width="18.42578125" customWidth="1"/>
    <col min="13824" max="13824" width="14.42578125" customWidth="1"/>
    <col min="13825" max="13825" width="13.5703125" customWidth="1"/>
    <col min="13826" max="13826" width="14.28515625" customWidth="1"/>
    <col min="13828" max="13828" width="10.42578125" customWidth="1"/>
    <col min="13829" max="13829" width="13.42578125" customWidth="1"/>
    <col min="13831" max="13831" width="9.7109375" customWidth="1"/>
    <col min="13832" max="13832" width="10.85546875" customWidth="1"/>
    <col min="13836" max="13836" width="11.7109375" customWidth="1"/>
    <col min="13840" max="13840" width="18.5703125" customWidth="1"/>
    <col min="14079" max="14079" width="18.42578125" customWidth="1"/>
    <col min="14080" max="14080" width="14.42578125" customWidth="1"/>
    <col min="14081" max="14081" width="13.5703125" customWidth="1"/>
    <col min="14082" max="14082" width="14.28515625" customWidth="1"/>
    <col min="14084" max="14084" width="10.42578125" customWidth="1"/>
    <col min="14085" max="14085" width="13.42578125" customWidth="1"/>
    <col min="14087" max="14087" width="9.7109375" customWidth="1"/>
    <col min="14088" max="14088" width="10.85546875" customWidth="1"/>
    <col min="14092" max="14092" width="11.7109375" customWidth="1"/>
    <col min="14096" max="14096" width="18.5703125" customWidth="1"/>
    <col min="14335" max="14335" width="18.42578125" customWidth="1"/>
    <col min="14336" max="14336" width="14.42578125" customWidth="1"/>
    <col min="14337" max="14337" width="13.5703125" customWidth="1"/>
    <col min="14338" max="14338" width="14.28515625" customWidth="1"/>
    <col min="14340" max="14340" width="10.42578125" customWidth="1"/>
    <col min="14341" max="14341" width="13.42578125" customWidth="1"/>
    <col min="14343" max="14343" width="9.7109375" customWidth="1"/>
    <col min="14344" max="14344" width="10.85546875" customWidth="1"/>
    <col min="14348" max="14348" width="11.7109375" customWidth="1"/>
    <col min="14352" max="14352" width="18.5703125" customWidth="1"/>
    <col min="14591" max="14591" width="18.42578125" customWidth="1"/>
    <col min="14592" max="14592" width="14.42578125" customWidth="1"/>
    <col min="14593" max="14593" width="13.5703125" customWidth="1"/>
    <col min="14594" max="14594" width="14.28515625" customWidth="1"/>
    <col min="14596" max="14596" width="10.42578125" customWidth="1"/>
    <col min="14597" max="14597" width="13.42578125" customWidth="1"/>
    <col min="14599" max="14599" width="9.7109375" customWidth="1"/>
    <col min="14600" max="14600" width="10.85546875" customWidth="1"/>
    <col min="14604" max="14604" width="11.7109375" customWidth="1"/>
    <col min="14608" max="14608" width="18.5703125" customWidth="1"/>
    <col min="14847" max="14847" width="18.42578125" customWidth="1"/>
    <col min="14848" max="14848" width="14.42578125" customWidth="1"/>
    <col min="14849" max="14849" width="13.5703125" customWidth="1"/>
    <col min="14850" max="14850" width="14.28515625" customWidth="1"/>
    <col min="14852" max="14852" width="10.42578125" customWidth="1"/>
    <col min="14853" max="14853" width="13.42578125" customWidth="1"/>
    <col min="14855" max="14855" width="9.7109375" customWidth="1"/>
    <col min="14856" max="14856" width="10.85546875" customWidth="1"/>
    <col min="14860" max="14860" width="11.7109375" customWidth="1"/>
    <col min="14864" max="14864" width="18.5703125" customWidth="1"/>
    <col min="15103" max="15103" width="18.42578125" customWidth="1"/>
    <col min="15104" max="15104" width="14.42578125" customWidth="1"/>
    <col min="15105" max="15105" width="13.5703125" customWidth="1"/>
    <col min="15106" max="15106" width="14.28515625" customWidth="1"/>
    <col min="15108" max="15108" width="10.42578125" customWidth="1"/>
    <col min="15109" max="15109" width="13.42578125" customWidth="1"/>
    <col min="15111" max="15111" width="9.7109375" customWidth="1"/>
    <col min="15112" max="15112" width="10.85546875" customWidth="1"/>
    <col min="15116" max="15116" width="11.7109375" customWidth="1"/>
    <col min="15120" max="15120" width="18.5703125" customWidth="1"/>
    <col min="15359" max="15359" width="18.42578125" customWidth="1"/>
    <col min="15360" max="15360" width="14.42578125" customWidth="1"/>
    <col min="15361" max="15361" width="13.5703125" customWidth="1"/>
    <col min="15362" max="15362" width="14.28515625" customWidth="1"/>
    <col min="15364" max="15364" width="10.42578125" customWidth="1"/>
    <col min="15365" max="15365" width="13.42578125" customWidth="1"/>
    <col min="15367" max="15367" width="9.7109375" customWidth="1"/>
    <col min="15368" max="15368" width="10.85546875" customWidth="1"/>
    <col min="15372" max="15372" width="11.7109375" customWidth="1"/>
    <col min="15376" max="15376" width="18.5703125" customWidth="1"/>
    <col min="15615" max="15615" width="18.42578125" customWidth="1"/>
    <col min="15616" max="15616" width="14.42578125" customWidth="1"/>
    <col min="15617" max="15617" width="13.5703125" customWidth="1"/>
    <col min="15618" max="15618" width="14.28515625" customWidth="1"/>
    <col min="15620" max="15620" width="10.42578125" customWidth="1"/>
    <col min="15621" max="15621" width="13.42578125" customWidth="1"/>
    <col min="15623" max="15623" width="9.7109375" customWidth="1"/>
    <col min="15624" max="15624" width="10.85546875" customWidth="1"/>
    <col min="15628" max="15628" width="11.7109375" customWidth="1"/>
    <col min="15632" max="15632" width="18.5703125" customWidth="1"/>
    <col min="15871" max="15871" width="18.42578125" customWidth="1"/>
    <col min="15872" max="15872" width="14.42578125" customWidth="1"/>
    <col min="15873" max="15873" width="13.5703125" customWidth="1"/>
    <col min="15874" max="15874" width="14.28515625" customWidth="1"/>
    <col min="15876" max="15876" width="10.42578125" customWidth="1"/>
    <col min="15877" max="15877" width="13.42578125" customWidth="1"/>
    <col min="15879" max="15879" width="9.7109375" customWidth="1"/>
    <col min="15880" max="15880" width="10.85546875" customWidth="1"/>
    <col min="15884" max="15884" width="11.7109375" customWidth="1"/>
    <col min="15888" max="15888" width="18.5703125" customWidth="1"/>
    <col min="16127" max="16127" width="18.42578125" customWidth="1"/>
    <col min="16128" max="16128" width="14.42578125" customWidth="1"/>
    <col min="16129" max="16129" width="13.5703125" customWidth="1"/>
    <col min="16130" max="16130" width="14.28515625" customWidth="1"/>
    <col min="16132" max="16132" width="10.42578125" customWidth="1"/>
    <col min="16133" max="16133" width="13.42578125" customWidth="1"/>
    <col min="16135" max="16135" width="9.7109375" customWidth="1"/>
    <col min="16136" max="16136" width="10.85546875" customWidth="1"/>
    <col min="16140" max="16140" width="11.7109375" customWidth="1"/>
    <col min="16144" max="16144" width="18.5703125" customWidth="1"/>
  </cols>
  <sheetData>
    <row r="1" spans="1:18" x14ac:dyDescent="0.2">
      <c r="M1" s="82" t="s">
        <v>84</v>
      </c>
    </row>
    <row r="2" spans="1:18" ht="15.75" x14ac:dyDescent="0.25">
      <c r="B2" s="265" t="s">
        <v>85</v>
      </c>
      <c r="C2" s="265"/>
      <c r="D2" s="265"/>
      <c r="E2" s="265"/>
      <c r="F2" s="265"/>
      <c r="G2" s="265"/>
      <c r="H2" s="265"/>
      <c r="I2" s="265"/>
      <c r="J2" s="265"/>
      <c r="K2" s="265"/>
      <c r="L2" s="265"/>
      <c r="M2" s="265"/>
      <c r="N2" s="265"/>
      <c r="O2" s="265"/>
      <c r="P2" s="265"/>
    </row>
    <row r="3" spans="1:18" ht="20.100000000000001" customHeight="1" x14ac:dyDescent="0.2">
      <c r="B3" s="266" t="s">
        <v>98</v>
      </c>
      <c r="C3" s="266"/>
      <c r="D3" s="266"/>
      <c r="E3" s="266"/>
      <c r="F3" s="266"/>
      <c r="G3" s="266"/>
      <c r="H3" s="266"/>
      <c r="I3" s="266"/>
      <c r="J3" s="266"/>
      <c r="K3" s="266"/>
      <c r="L3" s="266"/>
      <c r="M3" s="266"/>
      <c r="N3" s="266"/>
      <c r="O3" s="266"/>
      <c r="P3" s="266"/>
    </row>
    <row r="4" spans="1:18" x14ac:dyDescent="0.2">
      <c r="B4" s="225"/>
      <c r="C4" s="225"/>
      <c r="D4" s="225"/>
      <c r="E4" s="225"/>
      <c r="F4" s="225"/>
      <c r="G4" s="225"/>
      <c r="H4" s="225"/>
      <c r="I4" s="225"/>
      <c r="J4" s="225"/>
      <c r="K4" s="225"/>
      <c r="L4" s="225"/>
      <c r="M4" s="225"/>
      <c r="N4" s="225"/>
      <c r="O4" s="225"/>
      <c r="P4" s="225"/>
    </row>
    <row r="5" spans="1:18" ht="24.95" customHeight="1" x14ac:dyDescent="0.2">
      <c r="B5" s="269" t="s">
        <v>232</v>
      </c>
      <c r="C5" s="270"/>
      <c r="D5" s="270"/>
      <c r="E5" s="270"/>
      <c r="F5" s="270"/>
      <c r="G5" s="270"/>
      <c r="H5" s="270"/>
      <c r="I5" s="270"/>
      <c r="J5" s="270"/>
      <c r="K5" s="270"/>
      <c r="L5" s="270"/>
      <c r="M5" s="132"/>
      <c r="N5" s="132"/>
      <c r="O5" s="132"/>
      <c r="P5" s="132"/>
    </row>
    <row r="6" spans="1:18" ht="24.95" customHeight="1" thickBot="1" x14ac:dyDescent="0.25">
      <c r="B6" s="168"/>
      <c r="C6" s="122"/>
      <c r="D6" s="122"/>
      <c r="E6" s="122"/>
      <c r="F6" s="122"/>
      <c r="G6" s="122"/>
      <c r="H6" s="122"/>
      <c r="I6" s="122"/>
      <c r="J6" s="122"/>
      <c r="K6" s="122"/>
      <c r="L6" s="122"/>
      <c r="M6" s="164"/>
      <c r="N6" s="164"/>
      <c r="O6" s="164"/>
      <c r="P6" s="164"/>
    </row>
    <row r="7" spans="1:18" ht="20.100000000000001" customHeight="1" thickBot="1" x14ac:dyDescent="0.3">
      <c r="B7" s="78" t="s">
        <v>58</v>
      </c>
      <c r="C7" s="131"/>
      <c r="D7" s="47"/>
      <c r="E7" s="47"/>
      <c r="F7" s="47"/>
      <c r="G7" s="47"/>
      <c r="H7" s="47"/>
      <c r="I7" s="47"/>
      <c r="J7" s="47"/>
      <c r="K7" s="47"/>
      <c r="L7" s="47"/>
      <c r="M7" s="47"/>
      <c r="N7" s="47"/>
      <c r="O7" s="47"/>
      <c r="P7" s="47"/>
      <c r="Q7" s="47"/>
    </row>
    <row r="8" spans="1:18" ht="20.100000000000001" customHeight="1" thickBot="1" x14ac:dyDescent="0.3">
      <c r="A8" s="76" t="s">
        <v>59</v>
      </c>
      <c r="B8" s="267" t="s">
        <v>102</v>
      </c>
      <c r="C8" s="268"/>
      <c r="D8" s="268"/>
      <c r="E8" s="268"/>
      <c r="F8" s="268"/>
      <c r="G8" s="268"/>
      <c r="H8" s="268"/>
      <c r="I8" s="268"/>
      <c r="J8" s="268"/>
      <c r="K8" s="268"/>
      <c r="L8" s="268"/>
      <c r="M8" s="268"/>
      <c r="N8" s="268"/>
      <c r="O8" s="268"/>
      <c r="P8" s="268"/>
      <c r="Q8" s="47"/>
    </row>
    <row r="9" spans="1:18" ht="35.1" customHeight="1" thickBot="1" x14ac:dyDescent="0.3">
      <c r="A9" s="148" t="s">
        <v>130</v>
      </c>
      <c r="B9" s="264" t="s">
        <v>133</v>
      </c>
      <c r="C9" s="264"/>
      <c r="D9" s="264"/>
      <c r="E9" s="264"/>
      <c r="F9" s="264"/>
      <c r="G9" s="264"/>
      <c r="H9" s="264"/>
      <c r="I9" s="264"/>
      <c r="J9" s="264"/>
      <c r="K9" s="264"/>
      <c r="L9" s="264"/>
      <c r="M9" s="264"/>
      <c r="N9" s="264"/>
      <c r="O9" s="264"/>
      <c r="P9" s="264"/>
      <c r="Q9" s="47"/>
      <c r="R9" s="115"/>
    </row>
    <row r="10" spans="1:18" ht="42.95" customHeight="1" x14ac:dyDescent="0.25">
      <c r="A10" s="147" t="s">
        <v>128</v>
      </c>
      <c r="B10" s="257" t="s">
        <v>134</v>
      </c>
      <c r="C10" s="250"/>
      <c r="D10" s="250"/>
      <c r="E10" s="250"/>
      <c r="F10" s="250"/>
      <c r="G10" s="250"/>
      <c r="H10" s="250"/>
      <c r="I10" s="250"/>
      <c r="J10" s="250"/>
      <c r="K10" s="250"/>
      <c r="L10" s="250"/>
      <c r="M10" s="250"/>
      <c r="N10" s="250"/>
      <c r="O10" s="250"/>
      <c r="P10" s="250"/>
      <c r="Q10" s="47"/>
      <c r="R10" s="115"/>
    </row>
    <row r="11" spans="1:18" ht="42.95" customHeight="1" x14ac:dyDescent="0.25">
      <c r="A11" s="147" t="s">
        <v>131</v>
      </c>
      <c r="B11" s="258" t="s">
        <v>135</v>
      </c>
      <c r="C11" s="259"/>
      <c r="D11" s="259"/>
      <c r="E11" s="259"/>
      <c r="F11" s="259"/>
      <c r="G11" s="259"/>
      <c r="H11" s="259"/>
      <c r="I11" s="259"/>
      <c r="J11" s="259"/>
      <c r="K11" s="259"/>
      <c r="L11" s="259"/>
      <c r="M11" s="259"/>
      <c r="N11" s="259"/>
      <c r="O11" s="259"/>
      <c r="P11" s="259"/>
      <c r="Q11" s="47"/>
      <c r="R11" s="119"/>
    </row>
    <row r="12" spans="1:18" ht="16.5" thickBot="1" x14ac:dyDescent="0.3">
      <c r="B12" s="54"/>
      <c r="C12" s="47"/>
      <c r="D12" s="47"/>
      <c r="E12" s="47"/>
      <c r="F12" s="47"/>
      <c r="G12" s="47"/>
      <c r="H12" s="47"/>
      <c r="I12" s="47"/>
      <c r="J12" s="47"/>
      <c r="K12" s="47"/>
      <c r="L12" s="47"/>
      <c r="M12" s="47"/>
      <c r="N12" s="47"/>
      <c r="O12" s="47"/>
      <c r="P12" s="47"/>
      <c r="Q12" s="47"/>
    </row>
    <row r="13" spans="1:18" ht="19.5" thickBot="1" x14ac:dyDescent="0.3">
      <c r="A13" s="76" t="s">
        <v>60</v>
      </c>
      <c r="B13" s="246" t="s">
        <v>106</v>
      </c>
      <c r="C13" s="246"/>
      <c r="D13" s="246"/>
      <c r="E13" s="246"/>
      <c r="F13" s="246"/>
      <c r="G13" s="246"/>
      <c r="H13" s="246"/>
      <c r="I13" s="246"/>
      <c r="J13" s="246"/>
      <c r="K13" s="246"/>
      <c r="L13" s="246"/>
      <c r="M13" s="246"/>
      <c r="N13" s="246"/>
      <c r="O13" s="246"/>
      <c r="P13" s="246"/>
      <c r="Q13" s="47"/>
    </row>
    <row r="14" spans="1:18" ht="47.25" customHeight="1" x14ac:dyDescent="0.25">
      <c r="A14" s="147" t="s">
        <v>127</v>
      </c>
      <c r="B14" s="260" t="s">
        <v>132</v>
      </c>
      <c r="C14" s="261"/>
      <c r="D14" s="261"/>
      <c r="E14" s="261"/>
      <c r="F14" s="261"/>
      <c r="G14" s="261"/>
      <c r="H14" s="261"/>
      <c r="I14" s="261"/>
      <c r="J14" s="261"/>
      <c r="K14" s="261"/>
      <c r="L14" s="261"/>
      <c r="M14" s="261"/>
      <c r="N14" s="261"/>
      <c r="O14" s="261"/>
      <c r="P14" s="261"/>
      <c r="Q14" s="47"/>
      <c r="R14" s="115"/>
    </row>
    <row r="15" spans="1:18" ht="15.75" x14ac:dyDescent="0.25">
      <c r="B15" s="54"/>
      <c r="C15" s="121"/>
      <c r="D15" s="47"/>
      <c r="E15" s="47"/>
      <c r="F15" s="47"/>
      <c r="G15" s="47"/>
      <c r="H15" s="47"/>
      <c r="I15" s="47"/>
      <c r="J15" s="47"/>
      <c r="K15" s="47"/>
      <c r="L15" s="47"/>
      <c r="M15" s="47"/>
      <c r="N15" s="47"/>
      <c r="O15" s="47"/>
      <c r="P15" s="47"/>
      <c r="Q15" s="47"/>
      <c r="R15" s="119"/>
    </row>
    <row r="16" spans="1:18" ht="15.75" x14ac:dyDescent="0.25">
      <c r="B16" s="54"/>
      <c r="C16" s="121"/>
      <c r="D16" s="47"/>
      <c r="E16" s="47"/>
      <c r="F16" s="47"/>
      <c r="G16" s="47"/>
      <c r="H16" s="47"/>
      <c r="I16" s="47"/>
      <c r="J16" s="47"/>
      <c r="K16" s="47"/>
      <c r="L16" s="47"/>
      <c r="M16" s="47"/>
      <c r="N16" s="47"/>
      <c r="O16" s="47"/>
      <c r="P16" s="47"/>
      <c r="Q16" s="47"/>
    </row>
    <row r="17" spans="1:18" ht="16.5" thickBot="1" x14ac:dyDescent="0.3">
      <c r="B17" s="54"/>
      <c r="C17" s="47"/>
      <c r="D17" s="47"/>
      <c r="E17" s="47"/>
      <c r="F17" s="47"/>
      <c r="G17" s="47"/>
      <c r="H17" s="47"/>
      <c r="I17" s="47"/>
      <c r="J17" s="47"/>
      <c r="K17" s="47"/>
      <c r="L17" s="47"/>
      <c r="M17" s="47"/>
      <c r="N17" s="47"/>
      <c r="O17" s="47"/>
      <c r="P17" s="47"/>
      <c r="Q17" s="47"/>
    </row>
    <row r="18" spans="1:18" ht="20.100000000000001" customHeight="1" thickBot="1" x14ac:dyDescent="0.3">
      <c r="A18" s="76" t="s">
        <v>61</v>
      </c>
      <c r="B18" s="246" t="s">
        <v>107</v>
      </c>
      <c r="C18" s="246"/>
      <c r="D18" s="246"/>
      <c r="E18" s="246"/>
      <c r="F18" s="246"/>
      <c r="G18" s="246"/>
      <c r="H18" s="246"/>
      <c r="I18" s="246"/>
      <c r="J18" s="246"/>
      <c r="K18" s="246"/>
      <c r="L18" s="246"/>
      <c r="M18" s="246"/>
      <c r="N18" s="246"/>
      <c r="O18" s="246"/>
      <c r="P18" s="246"/>
      <c r="Q18" s="47"/>
    </row>
    <row r="19" spans="1:18" ht="33" customHeight="1" thickBot="1" x14ac:dyDescent="0.3">
      <c r="A19" s="148" t="s">
        <v>136</v>
      </c>
      <c r="B19" s="244" t="s">
        <v>105</v>
      </c>
      <c r="C19" s="245"/>
      <c r="D19" s="245"/>
      <c r="E19" s="245"/>
      <c r="F19" s="245"/>
      <c r="G19" s="245"/>
      <c r="H19" s="245"/>
      <c r="I19" s="245"/>
      <c r="J19" s="245"/>
      <c r="K19" s="245"/>
      <c r="L19" s="245"/>
      <c r="M19" s="245"/>
      <c r="N19" s="245"/>
      <c r="O19" s="245"/>
      <c r="P19" s="245"/>
      <c r="R19" s="119"/>
    </row>
    <row r="20" spans="1:18" ht="19.5" customHeight="1" thickBot="1" x14ac:dyDescent="0.3">
      <c r="A20" s="77"/>
      <c r="B20" s="75"/>
      <c r="C20" s="120"/>
      <c r="D20" s="134"/>
      <c r="E20" s="134"/>
      <c r="F20" s="134"/>
      <c r="G20" s="134"/>
      <c r="H20" s="134"/>
      <c r="I20" s="134"/>
      <c r="J20" s="134"/>
      <c r="K20" s="134"/>
      <c r="L20" s="134"/>
      <c r="M20" s="134"/>
      <c r="N20" s="134"/>
      <c r="O20" s="134"/>
      <c r="P20" s="134"/>
      <c r="R20" s="119"/>
    </row>
    <row r="21" spans="1:18" ht="19.5" customHeight="1" thickBot="1" x14ac:dyDescent="0.3">
      <c r="A21" s="76" t="s">
        <v>65</v>
      </c>
      <c r="B21" s="262" t="s">
        <v>100</v>
      </c>
      <c r="C21" s="263"/>
      <c r="D21" s="263"/>
      <c r="E21" s="263"/>
      <c r="F21" s="263"/>
      <c r="G21" s="263"/>
      <c r="H21" s="263"/>
      <c r="I21" s="263"/>
      <c r="J21" s="263"/>
      <c r="K21" s="263"/>
      <c r="L21" s="263"/>
      <c r="M21" s="263"/>
      <c r="N21" s="263"/>
      <c r="O21" s="263"/>
      <c r="P21" s="263"/>
      <c r="R21" s="119"/>
    </row>
    <row r="22" spans="1:18" ht="19.5" customHeight="1" x14ac:dyDescent="0.25">
      <c r="A22" s="253" t="s">
        <v>137</v>
      </c>
      <c r="B22" s="255" t="s">
        <v>101</v>
      </c>
      <c r="C22" s="256"/>
      <c r="D22" s="256"/>
      <c r="E22" s="256"/>
      <c r="F22" s="256"/>
      <c r="G22" s="256"/>
      <c r="H22" s="256"/>
      <c r="I22" s="256"/>
      <c r="J22" s="256"/>
      <c r="K22" s="256"/>
      <c r="L22" s="256"/>
      <c r="M22" s="256"/>
      <c r="N22" s="256"/>
      <c r="O22" s="256"/>
      <c r="P22" s="256"/>
      <c r="R22" s="119"/>
    </row>
    <row r="23" spans="1:18" ht="19.5" customHeight="1" x14ac:dyDescent="0.25">
      <c r="A23" s="254"/>
      <c r="B23" s="255" t="s">
        <v>138</v>
      </c>
      <c r="C23" s="256"/>
      <c r="D23" s="256"/>
      <c r="E23" s="256"/>
      <c r="F23" s="256"/>
      <c r="G23" s="256"/>
      <c r="H23" s="256"/>
      <c r="I23" s="256"/>
      <c r="J23" s="256"/>
      <c r="K23" s="256"/>
      <c r="L23" s="256"/>
      <c r="M23" s="256"/>
      <c r="N23" s="256"/>
      <c r="O23" s="256"/>
      <c r="P23" s="256"/>
      <c r="R23" s="119"/>
    </row>
    <row r="24" spans="1:18" ht="19.5" customHeight="1" x14ac:dyDescent="0.25">
      <c r="A24" s="136"/>
      <c r="B24" s="75"/>
      <c r="C24" s="143"/>
      <c r="D24" s="134"/>
      <c r="E24" s="134"/>
      <c r="F24" s="134"/>
      <c r="G24" s="134"/>
      <c r="H24" s="134"/>
      <c r="I24" s="134"/>
      <c r="J24" s="134"/>
      <c r="K24" s="134"/>
      <c r="L24" s="134"/>
      <c r="M24" s="134"/>
      <c r="N24" s="134"/>
      <c r="O24" s="134"/>
      <c r="P24" s="134"/>
      <c r="R24" s="119"/>
    </row>
    <row r="25" spans="1:18" ht="13.5" thickBot="1" x14ac:dyDescent="0.25"/>
    <row r="26" spans="1:18" ht="16.5" thickBot="1" x14ac:dyDescent="0.3">
      <c r="B26" s="78" t="s">
        <v>62</v>
      </c>
    </row>
    <row r="27" spans="1:18" ht="20.100000000000001" customHeight="1" thickBot="1" x14ac:dyDescent="0.3">
      <c r="A27" s="76" t="s">
        <v>59</v>
      </c>
      <c r="B27" s="251" t="s">
        <v>113</v>
      </c>
      <c r="C27" s="252"/>
      <c r="D27" s="252"/>
      <c r="E27" s="252"/>
      <c r="F27" s="252"/>
      <c r="G27" s="252"/>
      <c r="H27" s="252"/>
      <c r="I27" s="252"/>
      <c r="J27" s="252"/>
      <c r="K27" s="252"/>
      <c r="L27" s="252"/>
      <c r="M27" s="252"/>
      <c r="N27" s="252"/>
      <c r="O27" s="252"/>
      <c r="P27" s="252"/>
    </row>
    <row r="28" spans="1:18" ht="42.95" customHeight="1" x14ac:dyDescent="0.2">
      <c r="A28" s="123" t="s">
        <v>142</v>
      </c>
      <c r="B28" s="249" t="s">
        <v>139</v>
      </c>
      <c r="C28" s="250"/>
      <c r="D28" s="250"/>
      <c r="E28" s="250"/>
      <c r="F28" s="250"/>
      <c r="G28" s="250"/>
      <c r="H28" s="250"/>
      <c r="I28" s="250"/>
      <c r="J28" s="250"/>
      <c r="K28" s="250"/>
      <c r="L28" s="250"/>
      <c r="M28" s="250"/>
      <c r="N28" s="250"/>
      <c r="O28" s="250"/>
      <c r="P28" s="250"/>
      <c r="R28" s="115"/>
    </row>
    <row r="29" spans="1:18" ht="42.95" customHeight="1" x14ac:dyDescent="0.2">
      <c r="A29" s="124" t="s">
        <v>129</v>
      </c>
      <c r="B29" s="249" t="s">
        <v>120</v>
      </c>
      <c r="C29" s="250"/>
      <c r="D29" s="250"/>
      <c r="E29" s="250"/>
      <c r="F29" s="250"/>
      <c r="G29" s="250"/>
      <c r="H29" s="250"/>
      <c r="I29" s="250"/>
      <c r="J29" s="250"/>
      <c r="K29" s="250"/>
      <c r="L29" s="250"/>
      <c r="M29" s="250"/>
      <c r="N29" s="250"/>
      <c r="O29" s="250"/>
      <c r="P29" s="250"/>
    </row>
    <row r="30" spans="1:18" ht="42.95" customHeight="1" x14ac:dyDescent="0.2">
      <c r="A30" s="125" t="s">
        <v>125</v>
      </c>
      <c r="B30" s="249" t="s">
        <v>121</v>
      </c>
      <c r="C30" s="250"/>
      <c r="D30" s="250"/>
      <c r="E30" s="250"/>
      <c r="F30" s="250"/>
      <c r="G30" s="250"/>
      <c r="H30" s="250"/>
      <c r="I30" s="250"/>
      <c r="J30" s="250"/>
      <c r="K30" s="250"/>
      <c r="L30" s="250"/>
      <c r="M30" s="250"/>
      <c r="N30" s="250"/>
      <c r="O30" s="250"/>
      <c r="P30" s="250"/>
    </row>
    <row r="31" spans="1:18" ht="65.099999999999994" customHeight="1" x14ac:dyDescent="0.2">
      <c r="A31" s="125" t="s">
        <v>143</v>
      </c>
      <c r="B31" s="249" t="s">
        <v>122</v>
      </c>
      <c r="C31" s="250"/>
      <c r="D31" s="250"/>
      <c r="E31" s="250"/>
      <c r="F31" s="250"/>
      <c r="G31" s="250"/>
      <c r="H31" s="250"/>
      <c r="I31" s="250"/>
      <c r="J31" s="250"/>
      <c r="K31" s="250"/>
      <c r="L31" s="250"/>
      <c r="M31" s="250"/>
      <c r="N31" s="250"/>
      <c r="O31" s="250"/>
      <c r="P31" s="250"/>
    </row>
    <row r="32" spans="1:18" ht="12.95" customHeight="1" x14ac:dyDescent="0.2">
      <c r="A32" s="98"/>
      <c r="B32" s="100"/>
      <c r="C32" s="135"/>
      <c r="D32" s="135"/>
      <c r="E32" s="135"/>
      <c r="F32" s="135"/>
      <c r="G32" s="135"/>
      <c r="H32" s="135"/>
      <c r="I32" s="135"/>
      <c r="J32" s="135"/>
      <c r="K32" s="135"/>
      <c r="L32" s="135"/>
      <c r="M32" s="135"/>
      <c r="N32" s="135"/>
      <c r="O32" s="135"/>
      <c r="P32" s="135"/>
    </row>
    <row r="33" spans="1:18" ht="12.95" customHeight="1" thickBot="1" x14ac:dyDescent="0.25">
      <c r="A33" s="98"/>
      <c r="B33" s="100"/>
      <c r="C33" s="135"/>
      <c r="D33" s="135"/>
      <c r="E33" s="135"/>
      <c r="F33" s="135"/>
      <c r="G33" s="135"/>
      <c r="H33" s="135"/>
      <c r="I33" s="135"/>
      <c r="J33" s="135"/>
      <c r="K33" s="135"/>
      <c r="L33" s="135"/>
      <c r="M33" s="135"/>
      <c r="N33" s="135"/>
      <c r="O33" s="135"/>
      <c r="P33" s="135"/>
    </row>
    <row r="34" spans="1:18" ht="15.95" customHeight="1" thickBot="1" x14ac:dyDescent="0.25">
      <c r="A34" s="76" t="s">
        <v>60</v>
      </c>
      <c r="B34" s="246" t="s">
        <v>109</v>
      </c>
      <c r="C34" s="246"/>
      <c r="D34" s="246"/>
      <c r="E34" s="246"/>
      <c r="F34" s="246"/>
      <c r="G34" s="246"/>
      <c r="H34" s="246"/>
      <c r="I34" s="246"/>
      <c r="J34" s="246"/>
      <c r="K34" s="246"/>
      <c r="L34" s="246"/>
      <c r="M34" s="246"/>
      <c r="N34" s="246"/>
      <c r="O34" s="246"/>
      <c r="P34" s="246"/>
    </row>
    <row r="35" spans="1:18" ht="35.25" customHeight="1" thickBot="1" x14ac:dyDescent="0.3">
      <c r="A35" s="126" t="s">
        <v>126</v>
      </c>
      <c r="B35" s="244" t="s">
        <v>140</v>
      </c>
      <c r="C35" s="245"/>
      <c r="D35" s="245"/>
      <c r="E35" s="245"/>
      <c r="F35" s="245"/>
      <c r="G35" s="245"/>
      <c r="H35" s="245"/>
      <c r="I35" s="245"/>
      <c r="J35" s="245"/>
      <c r="K35" s="245"/>
      <c r="L35" s="245"/>
      <c r="M35" s="245"/>
      <c r="N35" s="245"/>
      <c r="O35" s="245"/>
      <c r="P35" s="245"/>
      <c r="R35" s="129"/>
    </row>
    <row r="36" spans="1:18" ht="15.75" x14ac:dyDescent="0.25">
      <c r="B36" s="54"/>
      <c r="C36" s="119"/>
      <c r="R36" s="119"/>
    </row>
    <row r="37" spans="1:18" ht="16.5" thickBot="1" x14ac:dyDescent="0.3">
      <c r="B37" s="54"/>
    </row>
    <row r="38" spans="1:18" ht="15.95" customHeight="1" thickBot="1" x14ac:dyDescent="0.25">
      <c r="A38" s="76" t="s">
        <v>63</v>
      </c>
      <c r="B38" s="246" t="s">
        <v>108</v>
      </c>
      <c r="C38" s="246"/>
      <c r="D38" s="246"/>
      <c r="E38" s="246"/>
      <c r="F38" s="246"/>
      <c r="G38" s="246"/>
      <c r="H38" s="246"/>
      <c r="I38" s="246"/>
      <c r="J38" s="246"/>
      <c r="K38" s="246"/>
      <c r="L38" s="246"/>
      <c r="M38" s="246"/>
      <c r="N38" s="246"/>
      <c r="O38" s="246"/>
      <c r="P38" s="246"/>
    </row>
    <row r="39" spans="1:18" ht="54.75" customHeight="1" thickBot="1" x14ac:dyDescent="0.3">
      <c r="A39" s="126" t="s">
        <v>125</v>
      </c>
      <c r="B39" s="244" t="s">
        <v>141</v>
      </c>
      <c r="C39" s="245"/>
      <c r="D39" s="245"/>
      <c r="E39" s="245"/>
      <c r="F39" s="245"/>
      <c r="G39" s="245"/>
      <c r="H39" s="245"/>
      <c r="I39" s="245"/>
      <c r="J39" s="245"/>
      <c r="K39" s="245"/>
      <c r="L39" s="245"/>
      <c r="M39" s="245"/>
      <c r="N39" s="245"/>
      <c r="O39" s="245"/>
      <c r="P39" s="245"/>
      <c r="R39" s="129"/>
    </row>
    <row r="40" spans="1:18" ht="18.75" customHeight="1" x14ac:dyDescent="0.25">
      <c r="A40" s="77"/>
      <c r="B40" s="54"/>
      <c r="C40" s="120"/>
      <c r="D40" s="134"/>
      <c r="E40" s="134"/>
      <c r="F40" s="134"/>
      <c r="G40" s="134"/>
      <c r="H40" s="134"/>
      <c r="I40" s="134"/>
      <c r="J40" s="134"/>
      <c r="K40" s="134"/>
      <c r="L40" s="134"/>
      <c r="M40" s="134"/>
      <c r="N40" s="134"/>
      <c r="O40" s="134"/>
      <c r="P40" s="134"/>
      <c r="R40" s="119"/>
    </row>
    <row r="41" spans="1:18" ht="13.5" thickBot="1" x14ac:dyDescent="0.25"/>
    <row r="42" spans="1:18" ht="16.5" thickBot="1" x14ac:dyDescent="0.3">
      <c r="B42" s="78" t="s">
        <v>64</v>
      </c>
    </row>
    <row r="43" spans="1:18" ht="15" customHeight="1" thickBot="1" x14ac:dyDescent="0.25">
      <c r="A43" s="76" t="s">
        <v>59</v>
      </c>
      <c r="B43" s="246" t="s">
        <v>86</v>
      </c>
      <c r="C43" s="246"/>
      <c r="D43" s="246"/>
      <c r="E43" s="246"/>
      <c r="F43" s="246"/>
      <c r="G43" s="246"/>
      <c r="H43" s="246"/>
      <c r="I43" s="246"/>
      <c r="J43" s="246"/>
      <c r="K43" s="246"/>
      <c r="L43" s="246"/>
      <c r="M43" s="246"/>
      <c r="N43" s="246"/>
      <c r="O43" s="246"/>
      <c r="P43" s="246"/>
    </row>
    <row r="44" spans="1:18" ht="51.75" customHeight="1" x14ac:dyDescent="0.25">
      <c r="A44" s="123" t="s">
        <v>129</v>
      </c>
      <c r="B44" s="244" t="s">
        <v>145</v>
      </c>
      <c r="C44" s="245"/>
      <c r="D44" s="245"/>
      <c r="E44" s="245"/>
      <c r="F44" s="245"/>
      <c r="G44" s="245"/>
      <c r="H44" s="245"/>
      <c r="I44" s="245"/>
      <c r="J44" s="245"/>
      <c r="K44" s="245"/>
      <c r="L44" s="245"/>
      <c r="M44" s="245"/>
      <c r="N44" s="245"/>
      <c r="O44" s="245"/>
      <c r="P44" s="245"/>
      <c r="R44" s="129"/>
    </row>
    <row r="45" spans="1:18" ht="15.75" x14ac:dyDescent="0.25">
      <c r="B45" s="54"/>
      <c r="R45" s="119"/>
    </row>
    <row r="46" spans="1:18" ht="13.5" thickBot="1" x14ac:dyDescent="0.25"/>
    <row r="47" spans="1:18" ht="20.100000000000001" customHeight="1" thickBot="1" x14ac:dyDescent="0.3">
      <c r="A47" s="76" t="s">
        <v>60</v>
      </c>
      <c r="B47" s="251" t="s">
        <v>114</v>
      </c>
      <c r="C47" s="252"/>
      <c r="D47" s="252"/>
      <c r="E47" s="252"/>
      <c r="F47" s="252"/>
      <c r="G47" s="252"/>
      <c r="H47" s="252"/>
      <c r="I47" s="252"/>
      <c r="J47" s="252"/>
      <c r="K47" s="252"/>
      <c r="L47" s="252"/>
      <c r="M47" s="252"/>
      <c r="N47" s="252"/>
      <c r="O47" s="252"/>
      <c r="P47" s="252"/>
    </row>
    <row r="48" spans="1:18" ht="42.95" customHeight="1" thickBot="1" x14ac:dyDescent="0.25">
      <c r="A48" s="125" t="s">
        <v>143</v>
      </c>
      <c r="B48" s="257" t="s">
        <v>69</v>
      </c>
      <c r="C48" s="250"/>
      <c r="D48" s="250"/>
      <c r="E48" s="250"/>
      <c r="F48" s="250"/>
      <c r="G48" s="250"/>
      <c r="H48" s="250"/>
      <c r="I48" s="250"/>
      <c r="J48" s="250"/>
      <c r="K48" s="250"/>
      <c r="L48" s="250"/>
      <c r="M48" s="250"/>
      <c r="N48" s="250"/>
      <c r="O48" s="250"/>
      <c r="P48" s="250"/>
      <c r="R48" s="129"/>
    </row>
    <row r="49" spans="1:18" ht="42.95" customHeight="1" thickBot="1" x14ac:dyDescent="0.25">
      <c r="A49" s="126" t="s">
        <v>125</v>
      </c>
      <c r="B49" s="257" t="s">
        <v>119</v>
      </c>
      <c r="C49" s="250"/>
      <c r="D49" s="250"/>
      <c r="E49" s="250"/>
      <c r="F49" s="250"/>
      <c r="G49" s="250"/>
      <c r="H49" s="250"/>
      <c r="I49" s="250"/>
      <c r="J49" s="250"/>
      <c r="K49" s="250"/>
      <c r="L49" s="250"/>
      <c r="M49" s="250"/>
      <c r="N49" s="250"/>
      <c r="O49" s="250"/>
      <c r="P49" s="250"/>
      <c r="R49" s="129"/>
    </row>
    <row r="50" spans="1:18" ht="13.5" thickBot="1" x14ac:dyDescent="0.25"/>
    <row r="51" spans="1:18" ht="20.100000000000001" customHeight="1" thickBot="1" x14ac:dyDescent="0.3">
      <c r="A51" s="76" t="s">
        <v>63</v>
      </c>
      <c r="B51" s="251" t="s">
        <v>115</v>
      </c>
      <c r="C51" s="252"/>
      <c r="D51" s="252"/>
      <c r="E51" s="252"/>
      <c r="F51" s="252"/>
      <c r="G51" s="252"/>
      <c r="H51" s="252"/>
      <c r="I51" s="252"/>
      <c r="J51" s="252"/>
      <c r="K51" s="252"/>
      <c r="L51" s="252"/>
      <c r="M51" s="252"/>
      <c r="N51" s="252"/>
      <c r="O51" s="252"/>
      <c r="P51" s="252"/>
    </row>
    <row r="52" spans="1:18" ht="42.95" customHeight="1" thickBot="1" x14ac:dyDescent="0.25">
      <c r="A52" s="126" t="s">
        <v>144</v>
      </c>
      <c r="B52" s="249" t="s">
        <v>146</v>
      </c>
      <c r="C52" s="250"/>
      <c r="D52" s="250"/>
      <c r="E52" s="250"/>
      <c r="F52" s="250"/>
      <c r="G52" s="250"/>
      <c r="H52" s="250"/>
      <c r="I52" s="250"/>
      <c r="J52" s="250"/>
      <c r="K52" s="250"/>
      <c r="L52" s="250"/>
      <c r="M52" s="250"/>
      <c r="N52" s="250"/>
      <c r="O52" s="250"/>
      <c r="P52" s="250"/>
      <c r="R52" s="129"/>
    </row>
    <row r="53" spans="1:18" ht="50.1" customHeight="1" x14ac:dyDescent="0.25">
      <c r="A53" s="123" t="s">
        <v>142</v>
      </c>
      <c r="B53" s="244" t="s">
        <v>147</v>
      </c>
      <c r="C53" s="245"/>
      <c r="D53" s="245"/>
      <c r="E53" s="245"/>
      <c r="F53" s="245"/>
      <c r="G53" s="245"/>
      <c r="H53" s="245"/>
      <c r="I53" s="245"/>
      <c r="J53" s="245"/>
      <c r="K53" s="245"/>
      <c r="L53" s="245"/>
      <c r="M53" s="245"/>
      <c r="N53" s="245"/>
      <c r="O53" s="245"/>
      <c r="P53" s="245"/>
      <c r="R53" s="129"/>
    </row>
    <row r="54" spans="1:18" ht="15" customHeight="1" thickBot="1" x14ac:dyDescent="0.3">
      <c r="A54" s="98"/>
      <c r="B54" s="133"/>
      <c r="C54" s="134"/>
      <c r="D54" s="134"/>
      <c r="E54" s="134"/>
      <c r="F54" s="134"/>
      <c r="G54" s="134"/>
      <c r="H54" s="134"/>
      <c r="I54" s="134"/>
      <c r="J54" s="134"/>
      <c r="K54" s="134"/>
      <c r="L54" s="134"/>
      <c r="M54" s="134"/>
      <c r="N54" s="134"/>
      <c r="O54" s="134"/>
      <c r="P54" s="134"/>
    </row>
    <row r="55" spans="1:18" ht="15" customHeight="1" thickBot="1" x14ac:dyDescent="0.25">
      <c r="A55" s="76" t="s">
        <v>65</v>
      </c>
      <c r="B55" s="246" t="s">
        <v>110</v>
      </c>
      <c r="C55" s="246"/>
      <c r="D55" s="246"/>
      <c r="E55" s="246"/>
      <c r="F55" s="246"/>
      <c r="G55" s="246"/>
      <c r="H55" s="246"/>
      <c r="I55" s="246"/>
      <c r="J55" s="246"/>
      <c r="K55" s="246"/>
      <c r="L55" s="246"/>
      <c r="M55" s="246"/>
      <c r="N55" s="246"/>
      <c r="O55" s="246"/>
      <c r="P55" s="246"/>
    </row>
    <row r="56" spans="1:18" ht="40.5" customHeight="1" thickBot="1" x14ac:dyDescent="0.3">
      <c r="A56" s="126" t="s">
        <v>126</v>
      </c>
      <c r="B56" s="244" t="s">
        <v>148</v>
      </c>
      <c r="C56" s="245"/>
      <c r="D56" s="245"/>
      <c r="E56" s="245"/>
      <c r="F56" s="245"/>
      <c r="G56" s="245"/>
      <c r="H56" s="245"/>
      <c r="I56" s="245"/>
      <c r="J56" s="245"/>
      <c r="K56" s="245"/>
      <c r="L56" s="245"/>
      <c r="M56" s="245"/>
      <c r="N56" s="245"/>
      <c r="O56" s="245"/>
      <c r="P56" s="245"/>
      <c r="R56" s="129"/>
    </row>
    <row r="57" spans="1:18" ht="16.5" thickBot="1" x14ac:dyDescent="0.3">
      <c r="B57" s="54"/>
      <c r="C57" s="119"/>
      <c r="R57" s="128"/>
    </row>
    <row r="58" spans="1:18" ht="19.5" thickBot="1" x14ac:dyDescent="0.25">
      <c r="A58" s="76" t="s">
        <v>99</v>
      </c>
      <c r="B58" s="246" t="s">
        <v>104</v>
      </c>
      <c r="C58" s="246"/>
      <c r="D58" s="246"/>
      <c r="E58" s="246"/>
      <c r="F58" s="246"/>
      <c r="G58" s="246"/>
      <c r="H58" s="246"/>
      <c r="I58" s="246"/>
      <c r="J58" s="246"/>
      <c r="K58" s="246"/>
      <c r="L58" s="246"/>
      <c r="M58" s="246"/>
      <c r="N58" s="246"/>
      <c r="O58" s="246"/>
      <c r="P58" s="246"/>
    </row>
    <row r="59" spans="1:18" ht="39.950000000000003" customHeight="1" x14ac:dyDescent="0.25">
      <c r="A59" s="123" t="s">
        <v>129</v>
      </c>
      <c r="B59" s="244" t="s">
        <v>149</v>
      </c>
      <c r="C59" s="245"/>
      <c r="D59" s="245"/>
      <c r="E59" s="245"/>
      <c r="F59" s="245"/>
      <c r="G59" s="245"/>
      <c r="H59" s="245"/>
      <c r="I59" s="245"/>
      <c r="J59" s="245"/>
      <c r="K59" s="245"/>
      <c r="L59" s="245"/>
      <c r="M59" s="245"/>
      <c r="N59" s="245"/>
      <c r="O59" s="245"/>
      <c r="P59" s="245"/>
      <c r="R59" s="115"/>
    </row>
    <row r="60" spans="1:18" ht="16.5" thickBot="1" x14ac:dyDescent="0.3">
      <c r="B60" s="54"/>
    </row>
    <row r="61" spans="1:18" ht="16.5" thickBot="1" x14ac:dyDescent="0.3">
      <c r="B61" s="78" t="s">
        <v>66</v>
      </c>
    </row>
    <row r="62" spans="1:18" ht="19.5" thickBot="1" x14ac:dyDescent="0.3">
      <c r="A62" s="76" t="s">
        <v>67</v>
      </c>
      <c r="B62" s="247" t="s">
        <v>116</v>
      </c>
      <c r="C62" s="247"/>
      <c r="D62" s="247"/>
      <c r="E62" s="247"/>
      <c r="F62" s="247"/>
      <c r="G62" s="247"/>
      <c r="H62" s="247"/>
      <c r="I62" s="247"/>
      <c r="J62" s="247"/>
      <c r="K62" s="247"/>
      <c r="L62" s="247"/>
      <c r="M62" s="247"/>
      <c r="N62" s="247"/>
      <c r="O62" s="247"/>
      <c r="P62" s="247"/>
    </row>
    <row r="63" spans="1:18" ht="99.95" customHeight="1" x14ac:dyDescent="0.2">
      <c r="A63" s="127" t="s">
        <v>150</v>
      </c>
      <c r="B63" s="249" t="s">
        <v>151</v>
      </c>
      <c r="C63" s="250"/>
      <c r="D63" s="250"/>
      <c r="E63" s="250"/>
      <c r="F63" s="250"/>
      <c r="G63" s="250"/>
      <c r="H63" s="250"/>
      <c r="I63" s="250"/>
      <c r="J63" s="250"/>
      <c r="K63" s="250"/>
      <c r="L63" s="250"/>
      <c r="M63" s="250"/>
      <c r="N63" s="250"/>
      <c r="O63" s="250"/>
      <c r="P63" s="250"/>
      <c r="R63" s="129"/>
    </row>
    <row r="64" spans="1:18" ht="15.75" x14ac:dyDescent="0.25">
      <c r="B64" s="75"/>
      <c r="C64" s="119"/>
      <c r="R64" s="128"/>
    </row>
    <row r="65" spans="1:18" ht="16.5" thickBot="1" x14ac:dyDescent="0.3">
      <c r="B65" s="54"/>
    </row>
    <row r="66" spans="1:18" ht="15.95" customHeight="1" thickBot="1" x14ac:dyDescent="0.25">
      <c r="A66" s="76" t="s">
        <v>60</v>
      </c>
      <c r="B66" s="246" t="s">
        <v>123</v>
      </c>
      <c r="C66" s="246"/>
      <c r="D66" s="246"/>
      <c r="E66" s="246"/>
      <c r="F66" s="246"/>
      <c r="G66" s="246"/>
      <c r="H66" s="246"/>
      <c r="I66" s="246"/>
      <c r="J66" s="246"/>
      <c r="K66" s="246"/>
      <c r="L66" s="246"/>
      <c r="M66" s="246"/>
      <c r="N66" s="246"/>
      <c r="O66" s="246"/>
      <c r="P66" s="246"/>
    </row>
    <row r="67" spans="1:18" ht="35.1" customHeight="1" thickBot="1" x14ac:dyDescent="0.25">
      <c r="A67" s="126" t="s">
        <v>126</v>
      </c>
      <c r="B67" s="249" t="s">
        <v>152</v>
      </c>
      <c r="C67" s="250"/>
      <c r="D67" s="250"/>
      <c r="E67" s="250"/>
      <c r="F67" s="250"/>
      <c r="G67" s="250"/>
      <c r="H67" s="250"/>
      <c r="I67" s="250"/>
      <c r="J67" s="250"/>
      <c r="K67" s="250"/>
      <c r="L67" s="250"/>
      <c r="M67" s="250"/>
      <c r="N67" s="250"/>
      <c r="O67" s="250"/>
      <c r="P67" s="250"/>
      <c r="R67" s="115"/>
    </row>
    <row r="68" spans="1:18" ht="15.75" x14ac:dyDescent="0.25">
      <c r="B68" s="54"/>
      <c r="C68" s="119"/>
      <c r="R68" s="119"/>
    </row>
    <row r="69" spans="1:18" ht="16.5" thickBot="1" x14ac:dyDescent="0.3">
      <c r="B69" s="54"/>
    </row>
    <row r="70" spans="1:18" ht="15" customHeight="1" thickBot="1" x14ac:dyDescent="0.25">
      <c r="A70" s="76" t="s">
        <v>63</v>
      </c>
      <c r="B70" s="246" t="s">
        <v>111</v>
      </c>
      <c r="C70" s="246"/>
      <c r="D70" s="246"/>
      <c r="E70" s="246"/>
      <c r="F70" s="246"/>
      <c r="G70" s="246"/>
      <c r="H70" s="246"/>
      <c r="I70" s="246"/>
      <c r="J70" s="246"/>
      <c r="K70" s="246"/>
      <c r="L70" s="246"/>
      <c r="M70" s="246"/>
      <c r="N70" s="246"/>
      <c r="O70" s="246"/>
      <c r="P70" s="246"/>
    </row>
    <row r="71" spans="1:18" ht="51" customHeight="1" x14ac:dyDescent="0.25">
      <c r="A71" s="123" t="s">
        <v>142</v>
      </c>
      <c r="B71" s="244" t="s">
        <v>153</v>
      </c>
      <c r="C71" s="245"/>
      <c r="D71" s="245"/>
      <c r="E71" s="245"/>
      <c r="F71" s="245"/>
      <c r="G71" s="245"/>
      <c r="H71" s="245"/>
      <c r="I71" s="245"/>
      <c r="J71" s="245"/>
      <c r="K71" s="245"/>
      <c r="L71" s="245"/>
      <c r="M71" s="245"/>
      <c r="N71" s="245"/>
      <c r="O71" s="245"/>
      <c r="P71" s="245"/>
      <c r="R71" s="115"/>
    </row>
    <row r="72" spans="1:18" ht="15.75" x14ac:dyDescent="0.25">
      <c r="B72" s="75"/>
      <c r="C72" s="119"/>
      <c r="R72" s="119"/>
    </row>
    <row r="73" spans="1:18" ht="13.5" thickBot="1" x14ac:dyDescent="0.25"/>
    <row r="74" spans="1:18" ht="16.5" thickBot="1" x14ac:dyDescent="0.3">
      <c r="B74" s="78" t="s">
        <v>68</v>
      </c>
    </row>
    <row r="75" spans="1:18" ht="15.95" customHeight="1" thickBot="1" x14ac:dyDescent="0.25">
      <c r="A75" s="76" t="s">
        <v>59</v>
      </c>
      <c r="B75" s="246" t="s">
        <v>117</v>
      </c>
      <c r="C75" s="246"/>
      <c r="D75" s="246"/>
      <c r="E75" s="246"/>
      <c r="F75" s="246"/>
      <c r="G75" s="246"/>
      <c r="H75" s="246"/>
      <c r="I75" s="246"/>
      <c r="J75" s="246"/>
      <c r="K75" s="246"/>
      <c r="L75" s="246"/>
      <c r="M75" s="246"/>
      <c r="N75" s="246"/>
      <c r="O75" s="246"/>
      <c r="P75" s="246"/>
    </row>
    <row r="76" spans="1:18" ht="50.1" customHeight="1" thickBot="1" x14ac:dyDescent="0.25">
      <c r="A76" s="130" t="s">
        <v>154</v>
      </c>
      <c r="B76" s="248" t="s">
        <v>155</v>
      </c>
      <c r="C76" s="248"/>
      <c r="D76" s="248"/>
      <c r="E76" s="248"/>
      <c r="F76" s="248"/>
      <c r="G76" s="248"/>
      <c r="H76" s="248"/>
      <c r="I76" s="248"/>
      <c r="J76" s="248"/>
      <c r="K76" s="248"/>
      <c r="L76" s="248"/>
      <c r="M76" s="248"/>
      <c r="N76" s="248"/>
      <c r="O76" s="248"/>
      <c r="P76" s="248"/>
    </row>
    <row r="77" spans="1:18" ht="15.75" customHeight="1" x14ac:dyDescent="0.2">
      <c r="B77" s="248"/>
      <c r="C77" s="248"/>
      <c r="D77" s="248"/>
      <c r="E77" s="248"/>
      <c r="F77" s="248"/>
      <c r="G77" s="248"/>
      <c r="H77" s="248"/>
      <c r="I77" s="248"/>
      <c r="J77" s="248"/>
      <c r="K77" s="248"/>
      <c r="L77" s="248"/>
      <c r="M77" s="248"/>
      <c r="N77" s="248"/>
      <c r="O77" s="248"/>
      <c r="P77" s="248"/>
      <c r="R77" s="115"/>
    </row>
    <row r="78" spans="1:18" ht="15.75" x14ac:dyDescent="0.25">
      <c r="B78" s="54"/>
    </row>
    <row r="79" spans="1:18" ht="16.5" thickBot="1" x14ac:dyDescent="0.3">
      <c r="B79" s="54"/>
    </row>
    <row r="80" spans="1:18" ht="19.5" thickBot="1" x14ac:dyDescent="0.3">
      <c r="A80" s="76" t="s">
        <v>60</v>
      </c>
      <c r="B80" s="247" t="s">
        <v>103</v>
      </c>
      <c r="C80" s="247"/>
      <c r="D80" s="247"/>
      <c r="E80" s="247"/>
      <c r="F80" s="247"/>
      <c r="G80" s="247"/>
      <c r="H80" s="247"/>
      <c r="I80" s="247"/>
      <c r="J80" s="247"/>
      <c r="K80" s="247"/>
      <c r="L80" s="247"/>
      <c r="M80" s="247"/>
      <c r="N80" s="247"/>
      <c r="O80" s="247"/>
      <c r="P80" s="247"/>
    </row>
    <row r="81" spans="1:18" ht="20.100000000000001" customHeight="1" thickBot="1" x14ac:dyDescent="0.3">
      <c r="A81" s="130" t="s">
        <v>125</v>
      </c>
      <c r="B81" s="244" t="s">
        <v>156</v>
      </c>
      <c r="C81" s="245"/>
      <c r="D81" s="245"/>
      <c r="E81" s="245"/>
      <c r="F81" s="245"/>
      <c r="G81" s="245"/>
      <c r="H81" s="245"/>
      <c r="I81" s="245"/>
      <c r="J81" s="245"/>
      <c r="K81" s="245"/>
      <c r="L81" s="245"/>
      <c r="M81" s="245"/>
      <c r="N81" s="245"/>
      <c r="O81" s="245"/>
      <c r="P81" s="245"/>
      <c r="R81" s="115"/>
    </row>
    <row r="82" spans="1:18" ht="15.75" x14ac:dyDescent="0.25">
      <c r="B82" s="54"/>
      <c r="R82" s="119"/>
    </row>
    <row r="83" spans="1:18" ht="16.5" thickBot="1" x14ac:dyDescent="0.3">
      <c r="B83" s="54"/>
    </row>
    <row r="84" spans="1:18" ht="19.5" thickBot="1" x14ac:dyDescent="0.3">
      <c r="A84" s="76" t="s">
        <v>63</v>
      </c>
      <c r="B84" s="247" t="s">
        <v>118</v>
      </c>
      <c r="C84" s="247"/>
      <c r="D84" s="247"/>
      <c r="E84" s="247"/>
      <c r="F84" s="247"/>
      <c r="G84" s="247"/>
      <c r="H84" s="247"/>
      <c r="I84" s="247"/>
      <c r="J84" s="247"/>
      <c r="K84" s="247"/>
      <c r="L84" s="247"/>
      <c r="M84" s="247"/>
      <c r="N84" s="247"/>
      <c r="O84" s="247"/>
      <c r="P84" s="247"/>
    </row>
    <row r="85" spans="1:18" ht="69.95" customHeight="1" thickBot="1" x14ac:dyDescent="0.25">
      <c r="A85" s="130" t="s">
        <v>157</v>
      </c>
      <c r="B85" s="249" t="s">
        <v>158</v>
      </c>
      <c r="C85" s="250"/>
      <c r="D85" s="250"/>
      <c r="E85" s="250"/>
      <c r="F85" s="250"/>
      <c r="G85" s="250"/>
      <c r="H85" s="250"/>
      <c r="I85" s="250"/>
      <c r="J85" s="250"/>
      <c r="K85" s="250"/>
      <c r="L85" s="250"/>
      <c r="M85" s="250"/>
      <c r="N85" s="250"/>
      <c r="O85" s="250"/>
      <c r="P85" s="250"/>
      <c r="R85" s="129"/>
    </row>
    <row r="86" spans="1:18" ht="16.5" thickBot="1" x14ac:dyDescent="0.3">
      <c r="B86" s="54"/>
    </row>
    <row r="87" spans="1:18" ht="15.95" customHeight="1" thickBot="1" x14ac:dyDescent="0.25">
      <c r="A87" s="76" t="s">
        <v>65</v>
      </c>
      <c r="B87" s="246" t="s">
        <v>112</v>
      </c>
      <c r="C87" s="246"/>
      <c r="D87" s="246"/>
      <c r="E87" s="246"/>
      <c r="F87" s="246"/>
      <c r="G87" s="246"/>
      <c r="H87" s="246"/>
      <c r="I87" s="246"/>
      <c r="J87" s="246"/>
      <c r="K87" s="246"/>
      <c r="L87" s="246"/>
      <c r="M87" s="246"/>
      <c r="N87" s="246"/>
      <c r="O87" s="246"/>
      <c r="P87" s="246"/>
    </row>
    <row r="88" spans="1:18" ht="32.25" customHeight="1" x14ac:dyDescent="0.25">
      <c r="A88" s="123" t="s">
        <v>129</v>
      </c>
      <c r="B88" s="244" t="s">
        <v>159</v>
      </c>
      <c r="C88" s="245"/>
      <c r="D88" s="245"/>
      <c r="E88" s="245"/>
      <c r="F88" s="245"/>
      <c r="G88" s="245"/>
      <c r="H88" s="245"/>
      <c r="I88" s="245"/>
      <c r="J88" s="245"/>
      <c r="K88" s="245"/>
      <c r="L88" s="245"/>
      <c r="M88" s="245"/>
      <c r="N88" s="245"/>
      <c r="O88" s="245"/>
      <c r="P88" s="245"/>
      <c r="R88" s="129"/>
    </row>
    <row r="89" spans="1:18" ht="15.75" x14ac:dyDescent="0.25">
      <c r="B89" s="54"/>
      <c r="C89" s="119"/>
      <c r="R89" s="119"/>
    </row>
    <row r="90" spans="1:18" ht="15.75" x14ac:dyDescent="0.25">
      <c r="C90" s="54" t="s">
        <v>71</v>
      </c>
      <c r="F90" s="54" t="s">
        <v>72</v>
      </c>
      <c r="H90" s="243"/>
      <c r="I90" s="243"/>
      <c r="K90" s="54" t="s">
        <v>73</v>
      </c>
      <c r="O90" s="54" t="s">
        <v>74</v>
      </c>
    </row>
    <row r="94" spans="1:18" ht="15.75" x14ac:dyDescent="0.25">
      <c r="C94" s="243"/>
      <c r="D94" s="243"/>
      <c r="F94" s="31"/>
      <c r="G94" s="31"/>
      <c r="H94" s="243"/>
      <c r="I94" s="243"/>
    </row>
    <row r="95" spans="1:18" ht="18.75" x14ac:dyDescent="0.25">
      <c r="C95" s="118"/>
      <c r="D95" s="116" t="s">
        <v>87</v>
      </c>
      <c r="E95" s="117" t="s">
        <v>97</v>
      </c>
      <c r="F95" s="117" t="s">
        <v>88</v>
      </c>
    </row>
    <row r="96" spans="1:18" ht="15" customHeight="1" x14ac:dyDescent="0.2">
      <c r="C96" s="237" t="s">
        <v>92</v>
      </c>
      <c r="D96" s="118">
        <v>47</v>
      </c>
      <c r="E96" s="118">
        <v>1692</v>
      </c>
      <c r="F96" s="145">
        <v>431.8</v>
      </c>
    </row>
    <row r="97" spans="3:12" ht="15" x14ac:dyDescent="0.2">
      <c r="C97" s="238"/>
      <c r="D97" s="118">
        <v>27</v>
      </c>
      <c r="E97" s="118">
        <v>972</v>
      </c>
      <c r="F97" s="145">
        <v>119.5</v>
      </c>
    </row>
    <row r="98" spans="3:12" ht="15" x14ac:dyDescent="0.2">
      <c r="C98" s="238"/>
      <c r="D98" s="118">
        <v>22</v>
      </c>
      <c r="E98" s="118">
        <v>792</v>
      </c>
      <c r="F98" s="145">
        <v>102.1</v>
      </c>
      <c r="L98" s="31"/>
    </row>
    <row r="99" spans="3:12" ht="15" x14ac:dyDescent="0.2">
      <c r="C99" s="239"/>
      <c r="D99" s="118">
        <v>11</v>
      </c>
      <c r="E99" s="118">
        <v>396</v>
      </c>
      <c r="F99" s="145">
        <v>139.69999999999999</v>
      </c>
      <c r="L99" s="31"/>
    </row>
    <row r="100" spans="3:12" ht="15.75" x14ac:dyDescent="0.25">
      <c r="C100" s="137"/>
      <c r="D100" s="138">
        <v>107</v>
      </c>
      <c r="E100" s="138">
        <v>3852</v>
      </c>
      <c r="F100" s="138">
        <v>793.1</v>
      </c>
    </row>
    <row r="101" spans="3:12" ht="15" x14ac:dyDescent="0.2">
      <c r="C101" s="237" t="s">
        <v>93</v>
      </c>
      <c r="D101" s="118">
        <v>80</v>
      </c>
      <c r="E101" s="118">
        <v>2880</v>
      </c>
      <c r="F101" s="145">
        <v>487.4</v>
      </c>
    </row>
    <row r="102" spans="3:12" ht="15" x14ac:dyDescent="0.2">
      <c r="C102" s="238"/>
      <c r="D102" s="118">
        <v>15</v>
      </c>
      <c r="E102" s="118">
        <v>540</v>
      </c>
      <c r="F102" s="145">
        <v>114.3</v>
      </c>
    </row>
    <row r="103" spans="3:12" ht="15" x14ac:dyDescent="0.2">
      <c r="C103" s="239"/>
      <c r="D103" s="118">
        <v>20</v>
      </c>
      <c r="E103" s="118">
        <v>720</v>
      </c>
      <c r="F103" s="145">
        <v>118.9</v>
      </c>
    </row>
    <row r="104" spans="3:12" ht="15.75" x14ac:dyDescent="0.25">
      <c r="C104" s="137"/>
      <c r="D104" s="138">
        <v>115</v>
      </c>
      <c r="E104" s="138">
        <v>4140</v>
      </c>
      <c r="F104" s="146">
        <v>720.6</v>
      </c>
    </row>
    <row r="105" spans="3:12" ht="15" customHeight="1" x14ac:dyDescent="0.2">
      <c r="C105" s="240" t="s">
        <v>94</v>
      </c>
      <c r="D105" s="118">
        <v>21</v>
      </c>
      <c r="E105" s="118">
        <v>756</v>
      </c>
      <c r="F105" s="145">
        <v>116.7</v>
      </c>
    </row>
    <row r="106" spans="3:12" ht="15" x14ac:dyDescent="0.2">
      <c r="C106" s="241"/>
      <c r="D106" s="118">
        <v>23</v>
      </c>
      <c r="E106" s="118">
        <v>828</v>
      </c>
      <c r="F106" s="145">
        <v>279.10000000000002</v>
      </c>
    </row>
    <row r="107" spans="3:12" ht="15" x14ac:dyDescent="0.2">
      <c r="C107" s="241"/>
      <c r="D107" s="118">
        <v>36</v>
      </c>
      <c r="E107" s="118">
        <v>1296</v>
      </c>
      <c r="F107" s="145">
        <v>289.2</v>
      </c>
    </row>
    <row r="108" spans="3:12" ht="15" x14ac:dyDescent="0.2">
      <c r="C108" s="241"/>
      <c r="D108" s="118">
        <v>17</v>
      </c>
      <c r="E108" s="118">
        <v>612</v>
      </c>
      <c r="F108" s="145">
        <v>108.7</v>
      </c>
    </row>
    <row r="109" spans="3:12" ht="15" x14ac:dyDescent="0.2">
      <c r="C109" s="242"/>
      <c r="D109" s="118">
        <v>12</v>
      </c>
      <c r="E109" s="118">
        <v>432</v>
      </c>
      <c r="F109" s="145">
        <v>154.69999999999999</v>
      </c>
    </row>
    <row r="110" spans="3:12" ht="15.75" x14ac:dyDescent="0.25">
      <c r="C110" s="137"/>
      <c r="D110" s="138">
        <v>109</v>
      </c>
      <c r="E110" s="138">
        <v>3924</v>
      </c>
      <c r="F110" s="146">
        <v>948.4</v>
      </c>
    </row>
    <row r="111" spans="3:12" ht="15" x14ac:dyDescent="0.2">
      <c r="C111" s="237" t="s">
        <v>95</v>
      </c>
      <c r="D111" s="118">
        <v>76</v>
      </c>
      <c r="E111" s="118">
        <v>2736</v>
      </c>
      <c r="F111" s="145">
        <v>419.7</v>
      </c>
    </row>
    <row r="112" spans="3:12" ht="15" x14ac:dyDescent="0.2">
      <c r="C112" s="238"/>
      <c r="D112" s="118">
        <v>15</v>
      </c>
      <c r="E112" s="118">
        <v>540</v>
      </c>
      <c r="F112" s="145">
        <v>95.2</v>
      </c>
    </row>
    <row r="113" spans="3:6" ht="15" x14ac:dyDescent="0.2">
      <c r="C113" s="239"/>
      <c r="D113" s="118">
        <v>20</v>
      </c>
      <c r="E113" s="118">
        <v>720</v>
      </c>
      <c r="F113" s="145">
        <v>108.4</v>
      </c>
    </row>
    <row r="114" spans="3:6" ht="15.75" x14ac:dyDescent="0.25">
      <c r="C114" s="137"/>
      <c r="D114" s="138">
        <v>111</v>
      </c>
      <c r="E114" s="138">
        <v>3996</v>
      </c>
      <c r="F114" s="146">
        <v>623.29999999999995</v>
      </c>
    </row>
    <row r="115" spans="3:6" ht="15" x14ac:dyDescent="0.2">
      <c r="C115" s="237" t="s">
        <v>96</v>
      </c>
      <c r="D115" s="118">
        <v>60</v>
      </c>
      <c r="E115" s="118">
        <v>2160</v>
      </c>
      <c r="F115" s="145">
        <v>258.5</v>
      </c>
    </row>
    <row r="116" spans="3:6" ht="15" x14ac:dyDescent="0.2">
      <c r="C116" s="238"/>
      <c r="D116" s="118">
        <v>12</v>
      </c>
      <c r="E116" s="118">
        <v>432</v>
      </c>
      <c r="F116" s="145">
        <v>99.3</v>
      </c>
    </row>
    <row r="117" spans="3:6" ht="15" x14ac:dyDescent="0.2">
      <c r="C117" s="238"/>
      <c r="D117" s="118">
        <v>16</v>
      </c>
      <c r="E117" s="118">
        <v>576</v>
      </c>
      <c r="F117" s="145">
        <v>205.6</v>
      </c>
    </row>
    <row r="118" spans="3:6" ht="15" x14ac:dyDescent="0.2">
      <c r="C118" s="239"/>
      <c r="D118" s="118">
        <v>15</v>
      </c>
      <c r="E118" s="118">
        <v>540</v>
      </c>
      <c r="F118" s="145">
        <v>94.9</v>
      </c>
    </row>
    <row r="119" spans="3:6" ht="15.75" x14ac:dyDescent="0.25">
      <c r="C119" s="137"/>
      <c r="D119" s="138">
        <v>103</v>
      </c>
      <c r="E119" s="138">
        <v>3708</v>
      </c>
      <c r="F119" s="138">
        <v>658.3</v>
      </c>
    </row>
    <row r="120" spans="3:6" ht="15.75" x14ac:dyDescent="0.25">
      <c r="C120" s="117" t="s">
        <v>89</v>
      </c>
      <c r="D120" s="118"/>
      <c r="E120" s="118"/>
      <c r="F120" s="140">
        <v>3743.7</v>
      </c>
    </row>
    <row r="121" spans="3:6" ht="15.75" x14ac:dyDescent="0.25">
      <c r="C121" s="117" t="s">
        <v>90</v>
      </c>
      <c r="D121" s="118"/>
      <c r="E121" s="118"/>
      <c r="F121" s="140">
        <v>14974.8</v>
      </c>
    </row>
    <row r="122" spans="3:6" ht="15.75" x14ac:dyDescent="0.25">
      <c r="C122" s="117" t="s">
        <v>91</v>
      </c>
      <c r="D122" s="117">
        <v>545</v>
      </c>
      <c r="E122" s="139">
        <v>19620</v>
      </c>
      <c r="F122" s="141">
        <v>179697.6</v>
      </c>
    </row>
    <row r="124" spans="3:6" ht="18" x14ac:dyDescent="0.2">
      <c r="C124" s="142" t="s">
        <v>124</v>
      </c>
    </row>
  </sheetData>
  <mergeCells count="59">
    <mergeCell ref="B9:P9"/>
    <mergeCell ref="B2:P2"/>
    <mergeCell ref="B3:P3"/>
    <mergeCell ref="B4:P4"/>
    <mergeCell ref="B8:P8"/>
    <mergeCell ref="B5:L5"/>
    <mergeCell ref="B28:P28"/>
    <mergeCell ref="B10:P10"/>
    <mergeCell ref="B11:P11"/>
    <mergeCell ref="B13:P13"/>
    <mergeCell ref="B14:P14"/>
    <mergeCell ref="B18:P18"/>
    <mergeCell ref="B19:P19"/>
    <mergeCell ref="B21:P21"/>
    <mergeCell ref="A22:A23"/>
    <mergeCell ref="B22:P22"/>
    <mergeCell ref="B23:P23"/>
    <mergeCell ref="B27:P27"/>
    <mergeCell ref="B49:P49"/>
    <mergeCell ref="B29:P29"/>
    <mergeCell ref="B30:P30"/>
    <mergeCell ref="B31:P31"/>
    <mergeCell ref="B34:P34"/>
    <mergeCell ref="B35:P35"/>
    <mergeCell ref="B38:P38"/>
    <mergeCell ref="B39:P39"/>
    <mergeCell ref="B43:P43"/>
    <mergeCell ref="B44:P44"/>
    <mergeCell ref="B47:P47"/>
    <mergeCell ref="B48:P48"/>
    <mergeCell ref="B70:P70"/>
    <mergeCell ref="B51:P51"/>
    <mergeCell ref="B52:P52"/>
    <mergeCell ref="B53:P53"/>
    <mergeCell ref="B55:P55"/>
    <mergeCell ref="B56:P56"/>
    <mergeCell ref="B58:P58"/>
    <mergeCell ref="B59:P59"/>
    <mergeCell ref="B62:P62"/>
    <mergeCell ref="B63:P63"/>
    <mergeCell ref="B66:P66"/>
    <mergeCell ref="B67:P67"/>
    <mergeCell ref="C94:D94"/>
    <mergeCell ref="H94:I94"/>
    <mergeCell ref="B71:P71"/>
    <mergeCell ref="B75:P75"/>
    <mergeCell ref="B80:P80"/>
    <mergeCell ref="B81:P81"/>
    <mergeCell ref="B84:P84"/>
    <mergeCell ref="B76:P77"/>
    <mergeCell ref="B85:P85"/>
    <mergeCell ref="B87:P87"/>
    <mergeCell ref="B88:P88"/>
    <mergeCell ref="H90:I90"/>
    <mergeCell ref="C96:C99"/>
    <mergeCell ref="C101:C103"/>
    <mergeCell ref="C105:C109"/>
    <mergeCell ref="C111:C113"/>
    <mergeCell ref="C115:C118"/>
  </mergeCells>
  <pageMargins left="0.70866141732283472" right="0.70866141732283472" top="0.74803149606299213" bottom="0.74803149606299213" header="0.31496062992125984" footer="0.31496062992125984"/>
  <pageSetup paperSize="9" scale="6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O20"/>
  <sheetViews>
    <sheetView workbookViewId="0">
      <selection activeCell="H12" sqref="H12"/>
    </sheetView>
  </sheetViews>
  <sheetFormatPr defaultRowHeight="12.75" x14ac:dyDescent="0.2"/>
  <cols>
    <col min="1" max="1" width="40" customWidth="1"/>
    <col min="2" max="2" width="17.140625" customWidth="1"/>
    <col min="3" max="3" width="13.5703125" customWidth="1"/>
    <col min="4" max="4" width="15.5703125" customWidth="1"/>
    <col min="5" max="5" width="14.5703125" customWidth="1"/>
    <col min="6" max="6" width="23.85546875" customWidth="1"/>
    <col min="7" max="7" width="15.140625" customWidth="1"/>
    <col min="8" max="8" width="17.85546875" customWidth="1"/>
    <col min="9" max="9" width="17.5703125" customWidth="1"/>
    <col min="15" max="15" width="11.7109375" bestFit="1" customWidth="1"/>
  </cols>
  <sheetData>
    <row r="4" spans="1:15" ht="48.75" customHeight="1" x14ac:dyDescent="0.25">
      <c r="A4" s="276" t="s">
        <v>8</v>
      </c>
      <c r="B4" s="272" t="s">
        <v>49</v>
      </c>
      <c r="C4" s="273"/>
      <c r="D4" s="274"/>
      <c r="E4" s="274"/>
      <c r="F4" s="274"/>
      <c r="G4" s="274"/>
      <c r="H4" s="274"/>
      <c r="I4" s="275"/>
    </row>
    <row r="5" spans="1:15" ht="34.5" customHeight="1" x14ac:dyDescent="0.25">
      <c r="A5" s="277"/>
      <c r="B5" s="8" t="s">
        <v>0</v>
      </c>
      <c r="C5" s="4" t="s">
        <v>1</v>
      </c>
      <c r="D5" s="8" t="s">
        <v>2</v>
      </c>
      <c r="E5" s="8" t="s">
        <v>3</v>
      </c>
      <c r="F5" s="8" t="s">
        <v>0</v>
      </c>
      <c r="G5" s="4" t="s">
        <v>1</v>
      </c>
      <c r="H5" s="8" t="s">
        <v>2</v>
      </c>
      <c r="I5" s="8" t="s">
        <v>3</v>
      </c>
    </row>
    <row r="6" spans="1:15" ht="78.75" x14ac:dyDescent="0.25">
      <c r="A6" s="161" t="s">
        <v>56</v>
      </c>
      <c r="B6" s="27" t="s">
        <v>34</v>
      </c>
      <c r="C6" s="28" t="s">
        <v>50</v>
      </c>
      <c r="D6" s="28" t="s">
        <v>51</v>
      </c>
      <c r="E6" s="27" t="s">
        <v>52</v>
      </c>
      <c r="F6" s="27" t="s">
        <v>35</v>
      </c>
      <c r="G6" s="28" t="s">
        <v>53</v>
      </c>
      <c r="H6" s="28" t="s">
        <v>54</v>
      </c>
      <c r="I6" s="27" t="s">
        <v>55</v>
      </c>
    </row>
    <row r="7" spans="1:15" ht="16.5" thickBot="1" x14ac:dyDescent="0.3">
      <c r="A7" s="5" t="s">
        <v>4</v>
      </c>
      <c r="B7" s="159">
        <v>19620</v>
      </c>
      <c r="C7" s="2">
        <v>120.71</v>
      </c>
      <c r="D7" s="2">
        <f>SUM(C7*2.1)</f>
        <v>253.49099999999999</v>
      </c>
      <c r="E7" s="2">
        <f>SUM(D7/12)</f>
        <v>21.12425</v>
      </c>
      <c r="F7" s="159">
        <v>19620</v>
      </c>
      <c r="G7" s="2">
        <v>120.71</v>
      </c>
      <c r="H7" s="2">
        <f>SUM(G7*2.08)</f>
        <v>251.07679999999999</v>
      </c>
      <c r="I7" s="2">
        <f>SUM(H7/12)</f>
        <v>20.923066666666667</v>
      </c>
      <c r="N7" s="160">
        <v>2160</v>
      </c>
      <c r="O7" s="25" t="s">
        <v>32</v>
      </c>
    </row>
    <row r="8" spans="1:15" ht="16.5" thickBot="1" x14ac:dyDescent="0.3">
      <c r="A8" s="5" t="s">
        <v>5</v>
      </c>
      <c r="B8" s="159">
        <v>19620</v>
      </c>
      <c r="C8" s="2">
        <v>266.95</v>
      </c>
      <c r="D8" s="2">
        <f>SUM(C8*2.1)</f>
        <v>560.59500000000003</v>
      </c>
      <c r="E8" s="2">
        <f>SUM(D8/12)</f>
        <v>46.716250000000002</v>
      </c>
      <c r="F8" s="159">
        <v>19620</v>
      </c>
      <c r="G8" s="2">
        <v>266.95</v>
      </c>
      <c r="H8" s="2">
        <f>SUM(G8*2.08)</f>
        <v>555.25599999999997</v>
      </c>
      <c r="I8" s="2">
        <f>SUM(H8/12)</f>
        <v>46.271333333333331</v>
      </c>
      <c r="N8" s="160">
        <v>17460</v>
      </c>
      <c r="O8" s="25" t="s">
        <v>33</v>
      </c>
    </row>
    <row r="9" spans="1:15" ht="16.5" thickBot="1" x14ac:dyDescent="0.3">
      <c r="A9" s="6" t="s">
        <v>6</v>
      </c>
      <c r="B9" s="159">
        <v>19620</v>
      </c>
      <c r="C9" s="2">
        <v>245.52</v>
      </c>
      <c r="D9" s="2">
        <f>SUM(C9*2.1)</f>
        <v>515.5920000000001</v>
      </c>
      <c r="E9" s="2">
        <f>SUM(D9/12)</f>
        <v>42.966000000000008</v>
      </c>
      <c r="F9" s="159">
        <v>19620</v>
      </c>
      <c r="G9" s="2">
        <v>245.52</v>
      </c>
      <c r="H9" s="2">
        <f>SUM(G9*2.08)</f>
        <v>510.68160000000006</v>
      </c>
      <c r="I9" s="2">
        <f>SUM(H9/12)</f>
        <v>42.556800000000003</v>
      </c>
    </row>
    <row r="10" spans="1:15" ht="48" thickBot="1" x14ac:dyDescent="0.3">
      <c r="A10" s="7" t="s">
        <v>7</v>
      </c>
      <c r="B10" s="3"/>
      <c r="C10" s="26">
        <f t="shared" ref="C10:I10" si="0">C7+C8+C9</f>
        <v>633.17999999999995</v>
      </c>
      <c r="D10" s="26">
        <f t="shared" si="0"/>
        <v>1329.6780000000001</v>
      </c>
      <c r="E10" s="26">
        <f t="shared" si="0"/>
        <v>110.80650000000001</v>
      </c>
      <c r="F10" s="26"/>
      <c r="G10" s="26">
        <f t="shared" si="0"/>
        <v>633.17999999999995</v>
      </c>
      <c r="H10" s="26">
        <f t="shared" si="0"/>
        <v>1317.0144</v>
      </c>
      <c r="I10" s="26">
        <f t="shared" si="0"/>
        <v>109.75120000000001</v>
      </c>
    </row>
    <row r="11" spans="1:15" ht="15.75" x14ac:dyDescent="0.25">
      <c r="A11" s="1"/>
      <c r="B11" s="1"/>
      <c r="C11" s="72"/>
      <c r="D11" s="1"/>
      <c r="E11" s="1"/>
      <c r="F11" s="1"/>
      <c r="G11" s="1"/>
      <c r="H11" s="1"/>
      <c r="I11" s="1"/>
    </row>
    <row r="15" spans="1:15" ht="14.25" x14ac:dyDescent="0.2">
      <c r="B15" s="271" t="s">
        <v>71</v>
      </c>
      <c r="C15" s="271"/>
      <c r="F15" s="155" t="s">
        <v>72</v>
      </c>
    </row>
    <row r="16" spans="1:15" x14ac:dyDescent="0.2">
      <c r="B16" s="31"/>
      <c r="C16" s="31"/>
      <c r="F16" s="31"/>
      <c r="I16" s="119"/>
    </row>
    <row r="17" spans="2:9" ht="14.25" x14ac:dyDescent="0.2">
      <c r="B17" s="271" t="s">
        <v>73</v>
      </c>
      <c r="C17" s="271"/>
      <c r="F17" s="155" t="s">
        <v>74</v>
      </c>
    </row>
    <row r="19" spans="2:9" x14ac:dyDescent="0.2">
      <c r="H19" s="162">
        <v>2160</v>
      </c>
      <c r="I19" s="163" t="s">
        <v>32</v>
      </c>
    </row>
    <row r="20" spans="2:9" x14ac:dyDescent="0.2">
      <c r="H20" s="162">
        <v>17460</v>
      </c>
      <c r="I20" s="163" t="s">
        <v>33</v>
      </c>
    </row>
  </sheetData>
  <mergeCells count="4">
    <mergeCell ref="B17:C17"/>
    <mergeCell ref="B4:I4"/>
    <mergeCell ref="A4:A5"/>
    <mergeCell ref="B15:C15"/>
  </mergeCells>
  <pageMargins left="0.70866141732283472" right="0.70866141732283472" top="0.74803149606299213" bottom="0.74803149606299213" header="0.31496062992125984" footer="0.31496062992125984"/>
  <pageSetup paperSize="9" scale="70" orientation="landscape"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ВИТРАТИ 2026 тариф</vt:lpstr>
      <vt:lpstr>ЗАРОБІТНА_ПЛАТА</vt:lpstr>
      <vt:lpstr>СТРУКТУРА_ТАРИФУ 2026</vt:lpstr>
      <vt:lpstr>Маршр 2026 тариф  </vt:lpstr>
      <vt:lpstr>ПРОГНОЗ_ТАРИФИ 2026 </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cp:lastPrinted>2026-03-29T13:36:20Z</cp:lastPrinted>
  <dcterms:created xsi:type="dcterms:W3CDTF">2013-07-23T05:10:27Z</dcterms:created>
  <dcterms:modified xsi:type="dcterms:W3CDTF">2026-04-15T07:18:04Z</dcterms:modified>
</cp:coreProperties>
</file>