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мои документы\1. ВІДДІЛ 2021\ВИКОНАВЧИЙ КОМІТЕТ\2025\Квітень 2025\Рішення про встановлення тарифу на послугу з управління побутовими відходами 30.04.2025\На сайт\"/>
    </mc:Choice>
  </mc:AlternateContent>
  <xr:revisionPtr revIDLastSave="0" documentId="13_ncr:1_{3EEBD979-1681-463E-9251-99A65ACBF2FF}" xr6:coauthVersionLast="47" xr6:coauthVersionMax="47" xr10:uidLastSave="{00000000-0000-0000-0000-000000000000}"/>
  <bookViews>
    <workbookView xWindow="-120" yWindow="-120" windowWidth="20730" windowHeight="11160" firstSheet="3" activeTab="5" xr2:uid="{00000000-000D-0000-FFFF-FFFF00000000}"/>
  </bookViews>
  <sheets>
    <sheet name="УПРАВ_ТАРИФ _01_05_2025 (2)" sheetId="40" r:id="rId1"/>
    <sheet name="ВИТРАТИ 2025заміна" sheetId="39" r:id="rId2"/>
    <sheet name="МАРШРУТИ_ФАКТ 2025 (2)" sheetId="38" r:id="rId3"/>
    <sheet name="ЗАРОБІТНА_ПЛАТА" sheetId="30" r:id="rId4"/>
    <sheet name="СТРУКТУРА_ТАРИФУ 2025" sheetId="29" r:id="rId5"/>
    <sheet name="ПРОГНОЗ_ТАРИФИ 2025" sheetId="28" r:id="rId6"/>
  </sheets>
  <calcPr calcId="191029"/>
</workbook>
</file>

<file path=xl/calcChain.xml><?xml version="1.0" encoding="utf-8"?>
<calcChain xmlns="http://schemas.openxmlformats.org/spreadsheetml/2006/main">
  <c r="I12" i="28" l="1"/>
  <c r="I11" i="28"/>
  <c r="H13" i="28"/>
  <c r="H12" i="28"/>
  <c r="H11" i="28"/>
  <c r="E11" i="28"/>
  <c r="E14" i="28"/>
  <c r="I12" i="39"/>
  <c r="I36" i="39"/>
  <c r="J36" i="39" s="1"/>
  <c r="N36" i="39"/>
  <c r="M36" i="39"/>
  <c r="H33" i="40" l="1"/>
  <c r="G33" i="40"/>
  <c r="H32" i="40"/>
  <c r="G22" i="40"/>
  <c r="J20" i="40"/>
  <c r="I20" i="40"/>
  <c r="I19" i="40"/>
  <c r="F19" i="40"/>
  <c r="D19" i="40"/>
  <c r="I18" i="40"/>
  <c r="H18" i="40"/>
  <c r="F18" i="40"/>
  <c r="F17" i="40" s="1"/>
  <c r="D18" i="40"/>
  <c r="D17" i="40" s="1"/>
  <c r="G17" i="40"/>
  <c r="E17" i="40"/>
  <c r="C17" i="40"/>
  <c r="C14" i="40" s="1"/>
  <c r="I16" i="40"/>
  <c r="H16" i="40"/>
  <c r="F16" i="40"/>
  <c r="D16" i="40"/>
  <c r="I15" i="40"/>
  <c r="H15" i="40"/>
  <c r="F15" i="40"/>
  <c r="D15" i="40"/>
  <c r="G14" i="40"/>
  <c r="I13" i="40"/>
  <c r="H13" i="40"/>
  <c r="F13" i="40"/>
  <c r="D13" i="40"/>
  <c r="I12" i="40"/>
  <c r="H12" i="40"/>
  <c r="F12" i="40"/>
  <c r="D12" i="40"/>
  <c r="I11" i="40"/>
  <c r="H11" i="40"/>
  <c r="F11" i="40"/>
  <c r="D11" i="40"/>
  <c r="I10" i="40"/>
  <c r="H10" i="40"/>
  <c r="H9" i="40" s="1"/>
  <c r="F10" i="40"/>
  <c r="F9" i="40" s="1"/>
  <c r="D10" i="40"/>
  <c r="G9" i="40"/>
  <c r="G7" i="40" s="1"/>
  <c r="G6" i="40" s="1"/>
  <c r="E9" i="40"/>
  <c r="E7" i="40" s="1"/>
  <c r="C9" i="40"/>
  <c r="C7" i="40" s="1"/>
  <c r="I8" i="40"/>
  <c r="H8" i="40"/>
  <c r="F8" i="40"/>
  <c r="D8" i="40"/>
  <c r="N33" i="39"/>
  <c r="I33" i="39"/>
  <c r="I16" i="39"/>
  <c r="N16" i="39"/>
  <c r="M16" i="39"/>
  <c r="J18" i="40" l="1"/>
  <c r="J10" i="40"/>
  <c r="J12" i="40"/>
  <c r="F14" i="40"/>
  <c r="J15" i="40"/>
  <c r="J19" i="40"/>
  <c r="D14" i="40"/>
  <c r="F7" i="40"/>
  <c r="F6" i="40" s="1"/>
  <c r="H7" i="40"/>
  <c r="J13" i="40"/>
  <c r="J11" i="40"/>
  <c r="I17" i="40"/>
  <c r="J8" i="40"/>
  <c r="C6" i="40"/>
  <c r="I7" i="40"/>
  <c r="G21" i="40"/>
  <c r="G5" i="40"/>
  <c r="I9" i="40"/>
  <c r="E14" i="40"/>
  <c r="D9" i="40"/>
  <c r="J9" i="40" s="1"/>
  <c r="H17" i="40"/>
  <c r="H14" i="40" s="1"/>
  <c r="H6" i="40" s="1"/>
  <c r="J16" i="40"/>
  <c r="D7" i="40" l="1"/>
  <c r="H21" i="40"/>
  <c r="H5" i="40"/>
  <c r="J17" i="40"/>
  <c r="E6" i="40"/>
  <c r="I14" i="40"/>
  <c r="F5" i="40"/>
  <c r="F21" i="40"/>
  <c r="C5" i="40"/>
  <c r="C21" i="40"/>
  <c r="I6" i="40"/>
  <c r="J7" i="40" l="1"/>
  <c r="D6" i="40"/>
  <c r="C23" i="40"/>
  <c r="E21" i="40"/>
  <c r="E5" i="40"/>
  <c r="I5" i="40" s="1"/>
  <c r="D5" i="40" l="1"/>
  <c r="J5" i="40" s="1"/>
  <c r="D21" i="40"/>
  <c r="J6" i="40"/>
  <c r="E23" i="40"/>
  <c r="I23" i="40" s="1"/>
  <c r="I21" i="40"/>
  <c r="D23" i="40"/>
  <c r="C22" i="40"/>
  <c r="J21" i="40" l="1"/>
  <c r="C25" i="40"/>
  <c r="D22" i="40"/>
  <c r="D25" i="40" s="1"/>
  <c r="F23" i="40"/>
  <c r="F22" i="40" s="1"/>
  <c r="F28" i="40" s="1"/>
  <c r="E22" i="40"/>
  <c r="E28" i="40" s="1"/>
  <c r="D27" i="40" l="1"/>
  <c r="D26" i="40"/>
  <c r="F29" i="40"/>
  <c r="F30" i="40"/>
  <c r="J23" i="40"/>
  <c r="E29" i="40"/>
  <c r="E30" i="40" s="1"/>
  <c r="J22" i="40"/>
  <c r="J34" i="40" s="1"/>
  <c r="C26" i="40"/>
  <c r="C27" i="40" s="1"/>
  <c r="I22" i="40"/>
  <c r="I34" i="40" s="1"/>
  <c r="I35" i="40" l="1"/>
  <c r="I36" i="40" s="1"/>
  <c r="J36" i="40"/>
  <c r="J35" i="40"/>
  <c r="J33" i="39"/>
  <c r="M33" i="39"/>
  <c r="I28" i="39"/>
  <c r="J28" i="39" s="1"/>
  <c r="N28" i="39"/>
  <c r="M28" i="39"/>
  <c r="I27" i="39"/>
  <c r="J27" i="39" s="1"/>
  <c r="N27" i="39"/>
  <c r="M27" i="39"/>
  <c r="I25" i="39"/>
  <c r="J25" i="39" s="1"/>
  <c r="N25" i="39"/>
  <c r="M25" i="39"/>
  <c r="I22" i="39"/>
  <c r="J22" i="39" s="1"/>
  <c r="N22" i="39"/>
  <c r="M22" i="39"/>
  <c r="I21" i="39"/>
  <c r="J21" i="39" s="1"/>
  <c r="N21" i="39"/>
  <c r="M21" i="39"/>
  <c r="J16" i="39"/>
  <c r="N14" i="39"/>
  <c r="I14" i="39"/>
  <c r="J14" i="39" s="1"/>
  <c r="M14" i="39"/>
  <c r="I10" i="39"/>
  <c r="J10" i="39" s="1"/>
  <c r="N10" i="39"/>
  <c r="M10" i="39"/>
  <c r="I8" i="39"/>
  <c r="J8" i="39" s="1"/>
  <c r="N8" i="39"/>
  <c r="M8" i="39"/>
  <c r="I7" i="39"/>
  <c r="J7" i="39" s="1"/>
  <c r="N7" i="39"/>
  <c r="M7" i="39"/>
  <c r="N37" i="39"/>
  <c r="M37" i="39"/>
  <c r="I37" i="39"/>
  <c r="J37" i="39" s="1"/>
  <c r="N35" i="39"/>
  <c r="M35" i="39"/>
  <c r="I35" i="39"/>
  <c r="J35" i="39" s="1"/>
  <c r="N34" i="39"/>
  <c r="M34" i="39"/>
  <c r="I34" i="39"/>
  <c r="J34" i="39" s="1"/>
  <c r="N32" i="39"/>
  <c r="M32" i="39"/>
  <c r="I32" i="39"/>
  <c r="J32" i="39" s="1"/>
  <c r="N31" i="39"/>
  <c r="M31" i="39"/>
  <c r="I31" i="39"/>
  <c r="J31" i="39" s="1"/>
  <c r="N30" i="39"/>
  <c r="M30" i="39"/>
  <c r="I30" i="39"/>
  <c r="J30" i="39" s="1"/>
  <c r="N29" i="39"/>
  <c r="M29" i="39"/>
  <c r="I29" i="39"/>
  <c r="J29" i="39" s="1"/>
  <c r="N26" i="39"/>
  <c r="M26" i="39"/>
  <c r="I26" i="39"/>
  <c r="J26" i="39" s="1"/>
  <c r="N24" i="39"/>
  <c r="M24" i="39"/>
  <c r="I24" i="39"/>
  <c r="J24" i="39" s="1"/>
  <c r="N23" i="39"/>
  <c r="M23" i="39"/>
  <c r="I23" i="39"/>
  <c r="J23" i="39" s="1"/>
  <c r="N20" i="39"/>
  <c r="M20" i="39"/>
  <c r="I20" i="39"/>
  <c r="J20" i="39" s="1"/>
  <c r="N19" i="39"/>
  <c r="M19" i="39"/>
  <c r="I19" i="39"/>
  <c r="J19" i="39" s="1"/>
  <c r="N18" i="39"/>
  <c r="M18" i="39"/>
  <c r="I18" i="39"/>
  <c r="J18" i="39" s="1"/>
  <c r="N17" i="39"/>
  <c r="M17" i="39"/>
  <c r="I17" i="39"/>
  <c r="J17" i="39" s="1"/>
  <c r="N15" i="39"/>
  <c r="M15" i="39"/>
  <c r="I15" i="39"/>
  <c r="J15" i="39" s="1"/>
  <c r="N13" i="39"/>
  <c r="M13" i="39"/>
  <c r="I13" i="39"/>
  <c r="J13" i="39" s="1"/>
  <c r="N12" i="39"/>
  <c r="M12" i="39"/>
  <c r="J12" i="39"/>
  <c r="N11" i="39"/>
  <c r="M11" i="39"/>
  <c r="I11" i="39"/>
  <c r="J11" i="39" s="1"/>
  <c r="N9" i="39"/>
  <c r="M9" i="39"/>
  <c r="I9" i="39"/>
  <c r="J9" i="39" s="1"/>
  <c r="N38" i="39" l="1"/>
  <c r="J38" i="39"/>
  <c r="I41" i="39" s="1"/>
  <c r="I38" i="39"/>
  <c r="I40" i="39" s="1"/>
  <c r="R88" i="38"/>
  <c r="H36" i="29" l="1"/>
  <c r="G36" i="29"/>
  <c r="G11" i="30" l="1"/>
  <c r="E11" i="30"/>
  <c r="C11" i="30"/>
  <c r="H34" i="29" l="1"/>
  <c r="G34" i="29"/>
  <c r="H30" i="29"/>
  <c r="G30" i="29"/>
  <c r="H29" i="29"/>
  <c r="G29" i="29"/>
  <c r="H28" i="29"/>
  <c r="G28" i="29"/>
  <c r="F11" i="29"/>
  <c r="G10" i="30"/>
  <c r="F10" i="29" s="1"/>
  <c r="H22" i="28" l="1"/>
  <c r="H23" i="28" l="1"/>
  <c r="I23" i="28" s="1"/>
  <c r="D23" i="28"/>
  <c r="E23" i="28" s="1"/>
  <c r="I22" i="28"/>
  <c r="D22" i="28"/>
  <c r="E22" i="28" s="1"/>
  <c r="D24" i="28" l="1"/>
  <c r="H24" i="28"/>
  <c r="E21" i="28"/>
  <c r="E24" i="28" s="1"/>
  <c r="G9" i="30" l="1"/>
  <c r="F9" i="29" s="1"/>
  <c r="G8" i="30"/>
  <c r="F8" i="29" s="1"/>
  <c r="G7" i="30"/>
  <c r="F7" i="29" s="1"/>
  <c r="G6" i="30"/>
  <c r="F13" i="30"/>
  <c r="D13" i="30"/>
  <c r="H32" i="29"/>
  <c r="G32" i="29"/>
  <c r="F32" i="29"/>
  <c r="N13" i="29"/>
  <c r="N14" i="29" l="1"/>
  <c r="P13" i="29"/>
  <c r="O13" i="29"/>
  <c r="G13" i="30"/>
  <c r="D13" i="28"/>
  <c r="E13" i="28" s="1"/>
  <c r="N15" i="29"/>
  <c r="F6" i="29"/>
  <c r="F13" i="29" s="1"/>
  <c r="P14" i="29" l="1"/>
  <c r="P15" i="29" s="1"/>
  <c r="O14" i="29"/>
  <c r="O15" i="29" s="1"/>
  <c r="F14" i="29"/>
  <c r="H13" i="29"/>
  <c r="G13" i="29"/>
  <c r="I13" i="28"/>
  <c r="F38" i="29" l="1"/>
  <c r="H14" i="29"/>
  <c r="H38" i="29" s="1"/>
  <c r="G14" i="29"/>
  <c r="G38" i="29" s="1"/>
  <c r="C14" i="28"/>
  <c r="G14" i="28" l="1"/>
  <c r="D12" i="28"/>
  <c r="E12" i="28" s="1"/>
  <c r="D11" i="28" l="1"/>
  <c r="H14" i="28"/>
  <c r="D1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Админ</author>
  </authors>
  <commentList>
    <comment ref="O5" authorId="0" shapeId="0" xr:uid="{00000000-0006-0000-0300-000001000000}">
      <text>
        <r>
          <rPr>
            <b/>
            <sz val="9"/>
            <color indexed="81"/>
            <rFont val="Tahoma"/>
            <family val="2"/>
            <charset val="204"/>
          </rPr>
          <t>Админ:</t>
        </r>
        <r>
          <rPr>
            <sz val="9"/>
            <color indexed="81"/>
            <rFont val="Tahoma"/>
            <family val="2"/>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Админ</author>
  </authors>
  <commentList>
    <comment ref="H5" authorId="0" shapeId="0" xr:uid="{00000000-0006-0000-0400-000001000000}">
      <text>
        <r>
          <rPr>
            <b/>
            <sz val="9"/>
            <color indexed="81"/>
            <rFont val="Tahoma"/>
            <family val="2"/>
            <charset val="204"/>
          </rPr>
          <t>Админ:</t>
        </r>
        <r>
          <rPr>
            <sz val="9"/>
            <color indexed="81"/>
            <rFont val="Tahoma"/>
            <family val="2"/>
            <charset val="204"/>
          </rPr>
          <t xml:space="preserve">
</t>
        </r>
      </text>
    </comment>
    <comment ref="P5" authorId="0" shapeId="0" xr:uid="{00000000-0006-0000-0400-000002000000}">
      <text>
        <r>
          <rPr>
            <b/>
            <sz val="9"/>
            <color indexed="81"/>
            <rFont val="Tahoma"/>
            <family val="2"/>
            <charset val="204"/>
          </rPr>
          <t>Админ:</t>
        </r>
        <r>
          <rPr>
            <sz val="9"/>
            <color indexed="81"/>
            <rFont val="Tahoma"/>
            <family val="2"/>
            <charset val="204"/>
          </rPr>
          <t xml:space="preserve">
</t>
        </r>
      </text>
    </comment>
    <comment ref="H27" authorId="0" shapeId="0" xr:uid="{00000000-0006-0000-0400-000003000000}">
      <text>
        <r>
          <rPr>
            <b/>
            <sz val="9"/>
            <color indexed="81"/>
            <rFont val="Tahoma"/>
            <family val="2"/>
            <charset val="204"/>
          </rPr>
          <t>Админ:</t>
        </r>
        <r>
          <rPr>
            <sz val="9"/>
            <color indexed="81"/>
            <rFont val="Tahoma"/>
            <family val="2"/>
            <charset val="204"/>
          </rPr>
          <t xml:space="preserve">
</t>
        </r>
      </text>
    </comment>
  </commentList>
</comments>
</file>

<file path=xl/sharedStrings.xml><?xml version="1.0" encoding="utf-8"?>
<sst xmlns="http://schemas.openxmlformats.org/spreadsheetml/2006/main" count="357" uniqueCount="253">
  <si>
    <t>Адміністративні витрати</t>
  </si>
  <si>
    <t>№</t>
  </si>
  <si>
    <t>Показник</t>
  </si>
  <si>
    <t>прямі матеріальні витрати, зокрема:</t>
  </si>
  <si>
    <t>паливно-мастильні матеріали</t>
  </si>
  <si>
    <t>матеріали для ремонту засобів механізації</t>
  </si>
  <si>
    <t>прямі витрати на оплату праці</t>
  </si>
  <si>
    <t>інші прямі витрати, зокрема:</t>
  </si>
  <si>
    <t>єдиний внесок на загальнообов'язкове державне соціальне страхування працівників</t>
  </si>
  <si>
    <t>амортизація основних виробничих засобів та нематеріальних активів, безпосередньо пов'язаних із наданням послуги</t>
  </si>
  <si>
    <t>інші прямі витрати</t>
  </si>
  <si>
    <t>1.1</t>
  </si>
  <si>
    <t>1.1.1</t>
  </si>
  <si>
    <t>1.1.2</t>
  </si>
  <si>
    <t>1.2</t>
  </si>
  <si>
    <t>1.3</t>
  </si>
  <si>
    <t>1.3.1</t>
  </si>
  <si>
    <t>1.3.2</t>
  </si>
  <si>
    <t>1.3.3</t>
  </si>
  <si>
    <t>Загальновиробничі витрати</t>
  </si>
  <si>
    <t>Виробнича собівартість, усього:</t>
  </si>
  <si>
    <t>Прямі витрати, усього, зокрема:</t>
  </si>
  <si>
    <t>1.1.2.1</t>
  </si>
  <si>
    <t>ремонт</t>
  </si>
  <si>
    <t>1.1.2.2</t>
  </si>
  <si>
    <t>шини</t>
  </si>
  <si>
    <t>1.1.2.3</t>
  </si>
  <si>
    <t>1.3.3.1</t>
  </si>
  <si>
    <t>спецодяг працівників</t>
  </si>
  <si>
    <t>запчастини</t>
  </si>
  <si>
    <t>5.1</t>
  </si>
  <si>
    <t>Обсяг відходів, куб.м./рік</t>
  </si>
  <si>
    <t>грн/1 куб. м</t>
  </si>
  <si>
    <t>грн/1 особу в рік</t>
  </si>
  <si>
    <t>грн/1 особу в місяць</t>
  </si>
  <si>
    <t xml:space="preserve">Збирання </t>
  </si>
  <si>
    <t>Перевезення</t>
  </si>
  <si>
    <t>Видалення (захоронення) за договором</t>
  </si>
  <si>
    <t>Середньозважений тариф на послугу з управління побутовими відходами</t>
  </si>
  <si>
    <t>Найменування показників</t>
  </si>
  <si>
    <t>№ п/п</t>
  </si>
  <si>
    <t>Посада</t>
  </si>
  <si>
    <t>К-сть ставок</t>
  </si>
  <si>
    <t>Водій сміттэвоза МАЗ 45-71</t>
  </si>
  <si>
    <t>Водій сміттэвоза ГАЗ 33-09</t>
  </si>
  <si>
    <t>Водій сміттэвоза СКС 1,02</t>
  </si>
  <si>
    <t>Водій сміттэвоза СБМ 304/2</t>
  </si>
  <si>
    <t>Фонд оплати праці на рік</t>
  </si>
  <si>
    <t>Возій з вивезення твердих побутових відходів</t>
  </si>
  <si>
    <t>Заробітна плата , що відноситься до прямих витрат</t>
  </si>
  <si>
    <t>РАЗОМ</t>
  </si>
  <si>
    <t>Відсоток збирання</t>
  </si>
  <si>
    <t>Відсоток перевезення</t>
  </si>
  <si>
    <t>ЄСВ 22%</t>
  </si>
  <si>
    <t>Фахівець з методів розширення збуту</t>
  </si>
  <si>
    <t>ВСЬОГО</t>
  </si>
  <si>
    <t>Заробітна плата , що відноситься до загальновиробничих  витрат</t>
  </si>
  <si>
    <t>Ремонт автотранспортних засобів</t>
  </si>
  <si>
    <t>Назва витрати</t>
  </si>
  <si>
    <t>Річна сума</t>
  </si>
  <si>
    <t>Автозапчастини</t>
  </si>
  <si>
    <t>Спецодяг</t>
  </si>
  <si>
    <t>Амортизація</t>
  </si>
  <si>
    <t>ПММ</t>
  </si>
  <si>
    <t>ВСЬОГО прямих витрат</t>
  </si>
  <si>
    <t>Заробітна плата , відповідно до штатного розпису</t>
  </si>
  <si>
    <t>Фонд оплати праці на рік по дільниці Поводження з побутовими відходами</t>
  </si>
  <si>
    <t>Фонд оплати праці на рік по дільниці Виробництво</t>
  </si>
  <si>
    <t>організації</t>
  </si>
  <si>
    <t>населення</t>
  </si>
  <si>
    <t>Житлові багатоквартирні будинки</t>
  </si>
  <si>
    <t>Житлові будинки індивідуальної забудови з присадибною ділянкою</t>
  </si>
  <si>
    <t>Додаток 3</t>
  </si>
  <si>
    <t>до Додатку 33</t>
  </si>
  <si>
    <t>Примірна форма</t>
  </si>
  <si>
    <t>витрат на пально - мастильні матеріали</t>
  </si>
  <si>
    <t>обгрунтування</t>
  </si>
  <si>
    <t>зміст та характеристика витрат</t>
  </si>
  <si>
    <t>грн</t>
  </si>
  <si>
    <t>грн/м3</t>
  </si>
  <si>
    <t>Лінійні норми витрат автомобільного бензину,дизпалива автомобільного транспорту на 100км пробігу.Наказ Міністерства Транспорту України від 10.02.1998р.  №43</t>
  </si>
  <si>
    <t>ФОП</t>
  </si>
  <si>
    <t>Юридичні</t>
  </si>
  <si>
    <t>разом ПММ    грн/за рік</t>
  </si>
  <si>
    <t xml:space="preserve"> РАЗОМ  ПММ</t>
  </si>
  <si>
    <t>грн/м.куб.</t>
  </si>
  <si>
    <t xml:space="preserve"> Усього витрат повної собівартості</t>
  </si>
  <si>
    <t>Планований прибуток-5%</t>
  </si>
  <si>
    <t>рентабельність-5%</t>
  </si>
  <si>
    <t xml:space="preserve">Послуга управління </t>
  </si>
  <si>
    <t xml:space="preserve">Операція збирання </t>
  </si>
  <si>
    <t xml:space="preserve">Операція перевезення </t>
  </si>
  <si>
    <t>Загальний обсяг послуг, м.куб.</t>
  </si>
  <si>
    <t>Всього, грн.</t>
  </si>
  <si>
    <t>Операція видалення
(за договором)</t>
  </si>
  <si>
    <t xml:space="preserve">
Структура тарифу на послугу з управління змішаними побутовими відходами
та тарифів на операції збирання, перевезення, видалення (за договором) змішаних побутових відходів </t>
  </si>
  <si>
    <t>Витрати на операцію збирання змішаних побутових відходів  без ПДВ, грн/м.куб</t>
  </si>
  <si>
    <t>Витрати на операцію видалення (за договором) змішаних побутових відходів з ПДВ, грн/м.куб</t>
  </si>
  <si>
    <t>Витрати на послугу з управління змішаними побутовими відходами (без урахування ПДВ), грн/м.куб.</t>
  </si>
  <si>
    <t>Витрати на операцію  перевезення змішаних побутових відходів з ПДВ, грн/м.куб.</t>
  </si>
  <si>
    <t>Витрати на операцію видалення (за договором) змішаних побутових відходів  без ПДВ, грн/м.куб.</t>
  </si>
  <si>
    <t>Витрати на послугу з управління змішаними побутовими відходами (з урахуванням ПДВ), грн/м.куб.</t>
  </si>
  <si>
    <t>Витрати на операцію збирання змішаних побутових відходів з ПДВ, грн/м.куб.</t>
  </si>
  <si>
    <t>Витрати на операцію перевезення змішаних побутових відходів  без ПДВ, грн/м.куб.</t>
  </si>
  <si>
    <t>ПДВ</t>
  </si>
  <si>
    <r>
      <t xml:space="preserve">Вартість тарифу на  послугу  з управління змішаними побутовими відходами та тарифів на операції збирання, перевезення та видалення (за договором) </t>
    </r>
    <r>
      <rPr>
        <b/>
        <u/>
        <sz val="12"/>
        <rFont val="Times New Roman"/>
        <family val="1"/>
        <charset val="204"/>
      </rPr>
      <t>змішаних побутових відходів для споживачів з ПДВ</t>
    </r>
  </si>
  <si>
    <r>
      <t xml:space="preserve">Вартість тарифу на  послугу  з управління змішаними побутовими відходами та тарифів на операції збирання, перевезення та видалення (за договором) </t>
    </r>
    <r>
      <rPr>
        <b/>
        <u/>
        <sz val="12"/>
        <rFont val="Times New Roman"/>
        <family val="1"/>
        <charset val="204"/>
      </rPr>
      <t>змішаних побутових відходів для споживачів категорії "населення" з ПДВ</t>
    </r>
  </si>
  <si>
    <t>2,1 м. куб</t>
  </si>
  <si>
    <t>2,1 м. куб/рік</t>
  </si>
  <si>
    <t>0,175 м.куб/місяць</t>
  </si>
  <si>
    <t>2,08 м. куб</t>
  </si>
  <si>
    <t>2,08 м. куб/рік</t>
  </si>
  <si>
    <t>0,1733                   м. куб /місяць</t>
  </si>
  <si>
    <t xml:space="preserve">Норма надання послуги на 1 особу </t>
  </si>
  <si>
    <t>Водій сміттэвоза СБМ 601/2</t>
  </si>
  <si>
    <t>Розрахунок витрат на 01.01.2025 р.</t>
  </si>
  <si>
    <t>Понеділок</t>
  </si>
  <si>
    <t>СБМ 304/2 - 18,0</t>
  </si>
  <si>
    <t>ГАЗ - 7,5</t>
  </si>
  <si>
    <t>МАЗ - 10,0</t>
  </si>
  <si>
    <t>1 рейс</t>
  </si>
  <si>
    <t>2 рейс</t>
  </si>
  <si>
    <r>
      <rPr>
        <b/>
        <sz val="12"/>
        <rFont val="Times New Roman"/>
        <family val="1"/>
        <charset val="204"/>
      </rPr>
      <t xml:space="preserve">Краснокутськ </t>
    </r>
    <r>
      <rPr>
        <sz val="12"/>
        <rFont val="Times New Roman"/>
        <family val="1"/>
        <charset val="204"/>
      </rPr>
      <t xml:space="preserve">: вул. Шевченка 55, вул. Вигінчанська 41, 49, 55 ,57Б, вул. Ювілейна 1,  вул. Героїв Краснокутщини 70, вул.Трудова, парк СХТ, вул. Шевченка-перехрестя  Охтирська, Охтирська-Ярова, , Охтирська19, Охтирська 5, Охтирська 8, Охтирська 1, переулок Охтирська Захисників України, вул. Шевченка-Охтирська, Трудова 35, Героїв Краснокутщини 47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104 км</t>
    </r>
    <r>
      <rPr>
        <sz val="12"/>
        <rFont val="Times New Roman"/>
        <family val="1"/>
        <charset val="204"/>
      </rPr>
      <t xml:space="preserve">  </t>
    </r>
  </si>
  <si>
    <t>СБМ 601/2 -13,0</t>
  </si>
  <si>
    <t>СКС - 8,0</t>
  </si>
  <si>
    <t>3рейс</t>
  </si>
  <si>
    <r>
      <rPr>
        <b/>
        <sz val="12"/>
        <rFont val="Times New Roman"/>
        <family val="1"/>
        <charset val="204"/>
      </rPr>
      <t xml:space="preserve">Краснокутськ </t>
    </r>
    <r>
      <rPr>
        <sz val="12"/>
        <rFont val="Times New Roman"/>
        <family val="1"/>
        <charset val="204"/>
      </rPr>
      <t xml:space="preserve">: вул.Миру 146, Театральний 4, Перемоги 16, 11Б, ,12А, 12Г, Дачна 4, Східна-пров. Дачний , вул. Захисників України 54,24,11,7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92 км</t>
    </r>
    <r>
      <rPr>
        <sz val="12"/>
        <rFont val="Times New Roman"/>
        <family val="1"/>
        <charset val="204"/>
      </rPr>
      <t xml:space="preserve">  </t>
    </r>
  </si>
  <si>
    <t>Вівторок</t>
  </si>
  <si>
    <r>
      <rPr>
        <b/>
        <sz val="12"/>
        <rFont val="Times New Roman"/>
        <family val="1"/>
        <charset val="204"/>
      </rPr>
      <t xml:space="preserve">Краснокутськ </t>
    </r>
    <r>
      <rPr>
        <sz val="12"/>
        <rFont val="Times New Roman"/>
        <family val="1"/>
        <charset val="204"/>
      </rPr>
      <t xml:space="preserve">: вул. Миру 310,309,277,246, вуд. Миру-пров. Єдності 1, вул. Єдності 41, вул. Шевченка-Партизанська,106,85, вул. Єдності 84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98 км</t>
    </r>
    <r>
      <rPr>
        <sz val="12"/>
        <rFont val="Times New Roman"/>
        <family val="1"/>
        <charset val="204"/>
      </rPr>
      <t xml:space="preserve">  </t>
    </r>
  </si>
  <si>
    <t>3 рейс</t>
  </si>
  <si>
    <r>
      <rPr>
        <b/>
        <sz val="12"/>
        <rFont val="Times New Roman"/>
        <family val="1"/>
        <charset val="204"/>
      </rPr>
      <t xml:space="preserve">Краснокутськ </t>
    </r>
    <r>
      <rPr>
        <sz val="12"/>
        <rFont val="Times New Roman"/>
        <family val="1"/>
        <charset val="204"/>
      </rPr>
      <t xml:space="preserve">: вул. Базарна 1, вул. Ярова-Пригородній, вул. Сонячна-пров. Світлий, провул. Шкільний 20, вул. Основ'янська 1, вул. Миру-Горянська, пров. Городищанськмй 8, пров. Сонячний-Захисників України, пров. Кооперативний 1, вул. Захисників України 18, вул. Єддності, провул. Швейпромівський 1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98,5 км</t>
    </r>
    <r>
      <rPr>
        <sz val="12"/>
        <rFont val="Times New Roman"/>
        <family val="1"/>
        <charset val="204"/>
      </rPr>
      <t xml:space="preserve">  </t>
    </r>
  </si>
  <si>
    <t>Середа</t>
  </si>
  <si>
    <t>СКС-8,0</t>
  </si>
  <si>
    <r>
      <rPr>
        <b/>
        <sz val="12"/>
        <rFont val="Times New Roman"/>
        <family val="1"/>
        <charset val="204"/>
      </rPr>
      <t>Краснокутськ - Петрівське</t>
    </r>
    <r>
      <rPr>
        <sz val="12"/>
        <rFont val="Times New Roman"/>
        <family val="1"/>
        <charset val="204"/>
      </rPr>
      <t xml:space="preserve"> : вул.Грушевського 1А -</t>
    </r>
    <r>
      <rPr>
        <b/>
        <sz val="12"/>
        <rFont val="Times New Roman"/>
        <family val="1"/>
        <charset val="204"/>
      </rPr>
      <t xml:space="preserve"> Качалівка</t>
    </r>
    <r>
      <rPr>
        <sz val="12"/>
        <rFont val="Times New Roman"/>
        <family val="1"/>
        <charset val="204"/>
      </rPr>
      <t xml:space="preserve">: вул. Сидорова, вул. Шкільна, вул. Ніколаєва 21, вул. Лісова, вул. Лісова 43А, пров. Лісовий, вул. Барвінкова, вул. Центральна 89, вул. Китченка, вул. Центральна 39, вул. Карайкозівська 15, вул. Китченка 1, вул. Червона 47, вул. Вишнева 44, вул. Шевченка 21, пров. Барвінковий </t>
    </r>
    <r>
      <rPr>
        <b/>
        <sz val="12"/>
        <rFont val="Times New Roman"/>
        <family val="1"/>
        <charset val="204"/>
      </rPr>
      <t>Качалівка-Богодухів;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113 км</t>
    </r>
    <r>
      <rPr>
        <sz val="12"/>
        <rFont val="Times New Roman"/>
        <family val="1"/>
        <charset val="204"/>
      </rPr>
      <t xml:space="preserve">  </t>
    </r>
  </si>
  <si>
    <t>4 рейс</t>
  </si>
  <si>
    <r>
      <rPr>
        <b/>
        <sz val="12"/>
        <rFont val="Times New Roman"/>
        <family val="1"/>
        <charset val="204"/>
      </rPr>
      <t xml:space="preserve">Краснокутськ </t>
    </r>
    <r>
      <rPr>
        <sz val="12"/>
        <rFont val="Times New Roman"/>
        <family val="1"/>
        <charset val="204"/>
      </rPr>
      <t xml:space="preserve">: вул. Паркова 4,8,13, пров. Крутий, Підворічанський 31, Перехрестя Горянська-Садова, пров. Злагоди 3, вул. Миру 208, вул. Молодіжна, провул. Охтирський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97,0 км</t>
    </r>
    <r>
      <rPr>
        <sz val="12"/>
        <rFont val="Times New Roman"/>
        <family val="1"/>
        <charset val="204"/>
      </rPr>
      <t xml:space="preserve">  </t>
    </r>
  </si>
  <si>
    <t>Четвер</t>
  </si>
  <si>
    <t>1рейс</t>
  </si>
  <si>
    <r>
      <rPr>
        <b/>
        <sz val="12"/>
        <rFont val="Times New Roman"/>
        <family val="1"/>
        <charset val="204"/>
      </rPr>
      <t>Краснокутськ - Городнє</t>
    </r>
    <r>
      <rPr>
        <sz val="12"/>
        <rFont val="Times New Roman"/>
        <family val="1"/>
        <charset val="204"/>
      </rPr>
      <t xml:space="preserve"> : вул.Співоча, вул. Центральна 10, 11, вул Шевченка 95,54А, 100,39,27а,2, вул. Шевченка 1, 49,83, вул. Спортивна, вул. Центральна 3, вул. Новостроївська 2, 17, вул. Кленова 16, вул. Новоселівська 14,37, вул. Драгунівська 48, вул. Перемоги 40 -</t>
    </r>
    <r>
      <rPr>
        <b/>
        <sz val="12"/>
        <rFont val="Times New Roman"/>
        <family val="1"/>
        <charset val="204"/>
      </rPr>
      <t xml:space="preserve"> Козіївка</t>
    </r>
    <r>
      <rPr>
        <sz val="12"/>
        <rFont val="Times New Roman"/>
        <family val="1"/>
        <charset val="204"/>
      </rPr>
      <t xml:space="preserve">: вул.Слобожанська 25,229,161,99, вул. Покровська 19, вул. Вільна 2, вул. Шевченка 61,14,18, вул. Шевченка-Польова, вул. Слобожанська 40, вул. Драгунівська 148,70,81, 18 вул. Слобожанська 53, 70, 196, вул. Сороківська2, вул. Слобожанська 183, вул. Слобожанська-Козацька, вул. Покровська 26, вул. Миру-Слобожанська, вул. Лісова-Шевченка, вул. Сороківська 2, вул. Шевченка 34, пров. Чистий 1, вул. Садова  8, вул. Спортивна-перехрестя Шевченка, вул. Перемоги32,  вул. Травнева 15, вул. Драгунівська 39, вул. Спортивна 21, вул. Польова 12, вул. Сороківська 415 </t>
    </r>
    <r>
      <rPr>
        <b/>
        <sz val="12"/>
        <rFont val="Times New Roman"/>
        <family val="1"/>
        <charset val="204"/>
      </rPr>
      <t>Козіївка-Богодухів;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106 км</t>
    </r>
    <r>
      <rPr>
        <sz val="12"/>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</si>
  <si>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Миру 25,64,70,39,84,88,55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93,0 км</t>
    </r>
    <r>
      <rPr>
        <sz val="12"/>
        <rFont val="Times New Roman"/>
        <family val="1"/>
        <charset val="204"/>
      </rPr>
      <t xml:space="preserve">  </t>
    </r>
  </si>
  <si>
    <r>
      <rPr>
        <b/>
        <sz val="12"/>
        <rFont val="Times New Roman"/>
        <family val="1"/>
        <charset val="204"/>
      </rPr>
      <t xml:space="preserve">Краснокутськ </t>
    </r>
    <r>
      <rPr>
        <sz val="12"/>
        <rFont val="Times New Roman"/>
        <family val="1"/>
        <charset val="204"/>
      </rPr>
      <t xml:space="preserve">: вул. Миру 114, Бориса Зголи 13,Миру 129, Миру 115, Швейпромівська 30, Затишна 30, Маяківська 6, Трудова 8, Основ'нська 57, Берегова 54,78, Лесі українки, провул. Червоний-Заводська 42, вул. Маяківська 16,32, вул. Трудова 128, вул. Героїв Краснокутщини 69, вул. Шевченка 31, Миру 174, вул. садова 3, Миру-Горянська, Червоний м13, Заводська 10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98,0 км</t>
    </r>
    <r>
      <rPr>
        <sz val="12"/>
        <rFont val="Times New Roman"/>
        <family val="1"/>
        <charset val="204"/>
      </rPr>
      <t xml:space="preserve">  </t>
    </r>
  </si>
  <si>
    <t>П'ятниця</t>
  </si>
  <si>
    <r>
      <rPr>
        <b/>
        <sz val="12"/>
        <rFont val="Times New Roman"/>
        <family val="1"/>
        <charset val="204"/>
      </rPr>
      <t>Краснокутськ - Оленівське</t>
    </r>
    <r>
      <rPr>
        <sz val="12"/>
        <rFont val="Times New Roman"/>
        <family val="1"/>
        <charset val="204"/>
      </rPr>
      <t xml:space="preserve"> : вул.Конторська 1, вул. Краснокутська 1 -</t>
    </r>
    <r>
      <rPr>
        <b/>
        <sz val="12"/>
        <rFont val="Times New Roman"/>
        <family val="1"/>
        <charset val="204"/>
      </rPr>
      <t xml:space="preserve"> Мурафа</t>
    </r>
    <r>
      <rPr>
        <sz val="12"/>
        <rFont val="Times New Roman"/>
        <family val="1"/>
        <charset val="204"/>
      </rPr>
      <t xml:space="preserve">: вул. Соснова 5, 6,7, Вул. Театральна 3, вул. Весняна 3, 6, 38,55,60, вул Нова 3, вул. Харківська7, 28, вул. Центральна 10,29,37,60,81,109,120, вул. Базарна 5,18, вул. Ярославська 1,13, вул. Лисенка 13 </t>
    </r>
    <r>
      <rPr>
        <b/>
        <sz val="12"/>
        <rFont val="Times New Roman"/>
        <family val="1"/>
        <charset val="204"/>
      </rPr>
      <t>Мурафа-Богодухів;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94 км</t>
    </r>
    <r>
      <rPr>
        <sz val="12"/>
        <rFont val="Times New Roman"/>
        <family val="1"/>
        <charset val="204"/>
      </rPr>
      <t xml:space="preserve">  </t>
    </r>
  </si>
  <si>
    <r>
      <rPr>
        <b/>
        <sz val="12"/>
        <rFont val="Times New Roman"/>
        <family val="1"/>
        <charset val="204"/>
      </rPr>
      <t>Краснокутськ - Основинці</t>
    </r>
    <r>
      <rPr>
        <sz val="12"/>
        <rFont val="Times New Roman"/>
        <family val="1"/>
        <charset val="204"/>
      </rPr>
      <t xml:space="preserve"> : вул.Каразінська 8 А, вул. Каразінська 22 12В , вул. Каразінська 1, 14, 8 А 8 Б , 8 В, 12 А 53,55, 33, 22 перехрвстя Садовий-Грушевий і пров Красноярський </t>
    </r>
    <r>
      <rPr>
        <b/>
        <sz val="12"/>
        <rFont val="Times New Roman"/>
        <family val="1"/>
        <charset val="204"/>
      </rPr>
      <t>Основинці-Богодухів;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98 км</t>
    </r>
    <r>
      <rPr>
        <sz val="12"/>
        <rFont val="Times New Roman"/>
        <family val="1"/>
        <charset val="204"/>
      </rPr>
      <t xml:space="preserve">  </t>
    </r>
  </si>
  <si>
    <r>
      <rPr>
        <b/>
        <sz val="12"/>
        <rFont val="Times New Roman"/>
        <family val="1"/>
        <charset val="204"/>
      </rPr>
      <t>Краснокутськ - Чернещина</t>
    </r>
    <r>
      <rPr>
        <sz val="12"/>
        <rFont val="Times New Roman"/>
        <family val="1"/>
        <charset val="204"/>
      </rPr>
      <t xml:space="preserve"> : вул.Пісчаний 1, Дружби 59Б , Вишнево-Кленовий, Дружби-Вільшанська, Дружби-провул. Чернищанський, вул. Вільшанська 50, Дружби-Ярового, Вишневий-Лісовий, Кленовий 14,14,пров. Кам'яний 14, Ярове-Пригороднє, Зелена-Вигінчанська 11, Кленовий-вільшанська, Парккова 1, Театральний 21, Миру 158, Дружби 60 </t>
    </r>
    <r>
      <rPr>
        <b/>
        <sz val="12"/>
        <rFont val="Times New Roman"/>
        <family val="1"/>
        <charset val="204"/>
      </rPr>
      <t>Чернещина-Богодухів;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103 км</t>
    </r>
    <r>
      <rPr>
        <sz val="12"/>
        <rFont val="Times New Roman"/>
        <family val="1"/>
        <charset val="204"/>
      </rPr>
      <t xml:space="preserve">  </t>
    </r>
  </si>
  <si>
    <r>
      <rPr>
        <b/>
        <sz val="12"/>
        <rFont val="Times New Roman"/>
        <family val="1"/>
        <charset val="204"/>
      </rPr>
      <t xml:space="preserve">Краснокутськ - </t>
    </r>
    <r>
      <rPr>
        <sz val="12"/>
        <rFont val="Times New Roman"/>
        <family val="1"/>
        <charset val="204"/>
      </rPr>
      <t xml:space="preserve">: провул. Каштановий 1, 2, 15,  Героїв Краснокутщини- Охтирська 1, Затишний 30 Горянська 1, Миру 324, Жолобок 3, Оболонська 13, Героїв Краснокутщини 53, Основ'янський 1 </t>
    </r>
    <r>
      <rPr>
        <b/>
        <sz val="12"/>
        <rFont val="Times New Roman"/>
        <family val="1"/>
        <charset val="204"/>
      </rPr>
      <t>Краснокутськ-Богодухів;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98 км</t>
    </r>
    <r>
      <rPr>
        <sz val="12"/>
        <rFont val="Times New Roman"/>
        <family val="1"/>
        <charset val="204"/>
      </rPr>
      <t xml:space="preserve">  </t>
    </r>
  </si>
  <si>
    <t>МАЗ 10,0 робота автомобіля 98,5км х 20,3/100 х</t>
  </si>
  <si>
    <t>999,78 х 48рейси</t>
  </si>
  <si>
    <t>МАЗ 10,0 робота автомобіля 106,0км х 20,3/100 х</t>
  </si>
  <si>
    <t>МАЗ 10,0 робота автомобіля 98,0км х 20,3/100 х</t>
  </si>
  <si>
    <t>МАЗ 10,0 робота автомобіля 103,0км х 20,3/100 х</t>
  </si>
  <si>
    <t>ГАЗ 7,5 робота автомобіля 98,0 км х 19,4/100 х</t>
  </si>
  <si>
    <t>ГАЗ 7,5 робота автомобіля 97 км х 19,4/100 х</t>
  </si>
  <si>
    <t>ГАЗ 7,5 робота автомобіля 93 км х 19,4/100 х</t>
  </si>
  <si>
    <t>ГАЗ 7,5 робота автомобіля 103,0 км х 19,4/100 х</t>
  </si>
  <si>
    <t>СКС 8,0 робота автомобіля 104 км х 19,4/100 х</t>
  </si>
  <si>
    <t>1075,90 х 48рейси</t>
  </si>
  <si>
    <t>994,70 х 48рейси</t>
  </si>
  <si>
    <t>1045,45 х 48рейси</t>
  </si>
  <si>
    <t>950,60 х 48рейси</t>
  </si>
  <si>
    <t>940,90 х 48рейси</t>
  </si>
  <si>
    <t>902,10 х 48 рейси</t>
  </si>
  <si>
    <t>999,10 х 48рейси</t>
  </si>
  <si>
    <t>1008,80 х 48рейси</t>
  </si>
  <si>
    <t>СКС 8,0 робота автомобіля 106,0км х 19,4/100 х</t>
  </si>
  <si>
    <t>1028,20 х 48рейси</t>
  </si>
  <si>
    <t>СКС 8,0 робота автомобіля 103,0км х 19,4/100 х</t>
  </si>
  <si>
    <t>СБМ 18,0 робота автомобіля 92км х 28,8/100 х</t>
  </si>
  <si>
    <t>1324,80 х48рейси</t>
  </si>
  <si>
    <t>СБМ 18,0 робота автомобіля 106,0 км х 28,8/100 х</t>
  </si>
  <si>
    <t>1526,40х 48рейси</t>
  </si>
  <si>
    <t>СБМ 18,0 робота автомобіля 98,0 км х 28,8/100 х</t>
  </si>
  <si>
    <t>1411,20х 48рейси</t>
  </si>
  <si>
    <t>СБМ 18,0 робота автомобіля 94,0 км х 28,8/100 х</t>
  </si>
  <si>
    <t>1353,60 х 48рейси</t>
  </si>
  <si>
    <t>1346,80 х 48рейси</t>
  </si>
  <si>
    <t>1463,35 х 48рейси</t>
  </si>
  <si>
    <t>1372,70 х 48рейси</t>
  </si>
  <si>
    <t>1217,30 х 48рейси</t>
  </si>
  <si>
    <t>1108,8 м3</t>
  </si>
  <si>
    <t>702,0 м3</t>
  </si>
  <si>
    <r>
      <rPr>
        <b/>
        <sz val="12"/>
        <rFont val="Times New Roman"/>
        <family val="1"/>
        <charset val="204"/>
      </rPr>
      <t xml:space="preserve">Краснокутськ - Любівка </t>
    </r>
    <r>
      <rPr>
        <sz val="12"/>
        <rFont val="Times New Roman"/>
        <family val="1"/>
        <charset val="204"/>
      </rPr>
      <t xml:space="preserve">: вул.Слобожанська 53, 113,135Б, 227А, 235 , вул. Джерельна 37, вул. Леоніда Каденюка 10. </t>
    </r>
    <r>
      <rPr>
        <b/>
        <sz val="12"/>
        <rFont val="Times New Roman"/>
        <family val="1"/>
        <charset val="204"/>
      </rPr>
      <t>Любівка- Богодухів; Богодухів -Краснокутськ = 120,6 км.</t>
    </r>
  </si>
  <si>
    <t>СБМ 304/2-18,0</t>
  </si>
  <si>
    <r>
      <rPr>
        <b/>
        <sz val="12"/>
        <rFont val="Times New Roman"/>
        <family val="1"/>
        <charset val="204"/>
      </rPr>
      <t>Краснокутськ - Колонтаїв</t>
    </r>
    <r>
      <rPr>
        <sz val="12"/>
        <rFont val="Times New Roman"/>
        <family val="1"/>
        <charset val="204"/>
      </rPr>
      <t xml:space="preserve">: вул. Центральна 1,21,78,88,104,112, 150,166,179,213, </t>
    </r>
    <r>
      <rPr>
        <b/>
        <sz val="12"/>
        <rFont val="Times New Roman"/>
        <family val="1"/>
        <charset val="204"/>
      </rPr>
      <t>Колонтаїв-Богодухів;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131,8 км</t>
    </r>
    <r>
      <rPr>
        <sz val="12"/>
        <rFont val="Times New Roman"/>
        <family val="1"/>
        <charset val="204"/>
      </rPr>
      <t xml:space="preserve">  </t>
    </r>
  </si>
  <si>
    <r>
      <rPr>
        <b/>
        <sz val="12"/>
        <rFont val="Times New Roman"/>
        <family val="1"/>
        <charset val="204"/>
      </rPr>
      <t>Краснокутськ - Колонтаїв</t>
    </r>
    <r>
      <rPr>
        <sz val="12"/>
        <rFont val="Times New Roman"/>
        <family val="1"/>
        <charset val="204"/>
      </rPr>
      <t xml:space="preserve">:  вул. Берегова 17,20,55, вул. Садова, вул. Підгорна, пров. Широкий </t>
    </r>
    <r>
      <rPr>
        <b/>
        <sz val="12"/>
        <rFont val="Times New Roman"/>
        <family val="1"/>
        <charset val="204"/>
      </rPr>
      <t>Колонтаїв-Богодухів;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125,8 км</t>
    </r>
    <r>
      <rPr>
        <sz val="12"/>
        <rFont val="Times New Roman"/>
        <family val="1"/>
        <charset val="204"/>
      </rPr>
      <t xml:space="preserve">  </t>
    </r>
  </si>
  <si>
    <t xml:space="preserve"> ЛЮБІВКА- 19 конт.    14,25 м3             КОЛОНТАЇВ -28 конт.     21,0 м3</t>
  </si>
  <si>
    <t xml:space="preserve">ГАЗ - 7,5 </t>
  </si>
  <si>
    <r>
      <t>МАЗ-10</t>
    </r>
    <r>
      <rPr>
        <b/>
        <sz val="8"/>
        <rFont val="Arial Cyr"/>
        <charset val="204"/>
      </rPr>
      <t>,0</t>
    </r>
    <r>
      <rPr>
        <b/>
        <sz val="10"/>
        <rFont val="Arial Cyr"/>
        <charset val="204"/>
      </rPr>
      <t xml:space="preserve"> </t>
    </r>
  </si>
  <si>
    <r>
      <rPr>
        <b/>
        <sz val="12"/>
        <rFont val="Times New Roman"/>
        <family val="1"/>
        <charset val="204"/>
      </rPr>
      <t>Краснокутськ - Степанівка</t>
    </r>
    <r>
      <rPr>
        <sz val="12"/>
        <rFont val="Times New Roman"/>
        <family val="1"/>
        <charset val="204"/>
      </rPr>
      <t xml:space="preserve"> : вул.Юріївська, перехрестя вул. Заводська 3-вул. Бабаченка (магазин), вул. Заводська 20, вул. Героїв Охтирки 5, пров. Вишневий -</t>
    </r>
    <r>
      <rPr>
        <b/>
        <sz val="12"/>
        <rFont val="Times New Roman"/>
        <family val="1"/>
        <charset val="204"/>
      </rPr>
      <t xml:space="preserve"> Пархомівка</t>
    </r>
    <r>
      <rPr>
        <sz val="12"/>
        <rFont val="Times New Roman"/>
        <family val="1"/>
        <charset val="204"/>
      </rPr>
      <t xml:space="preserve">: вул. Євгена Лисенка 3-5, вул. Садова 20, вул. панаса Луньова 88, вул. Івана, вул. Євгена Лисенка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118,2 км</t>
    </r>
    <r>
      <rPr>
        <sz val="12"/>
        <rFont val="Times New Roman"/>
        <family val="1"/>
        <charset val="204"/>
      </rPr>
      <t xml:space="preserve">  </t>
    </r>
  </si>
  <si>
    <r>
      <rPr>
        <b/>
        <sz val="12"/>
        <rFont val="Times New Roman"/>
        <family val="1"/>
        <charset val="204"/>
      </rPr>
      <t>Краснокутськ- Пархомівка:</t>
    </r>
    <r>
      <rPr>
        <sz val="12"/>
        <rFont val="Times New Roman"/>
        <family val="1"/>
        <charset val="204"/>
      </rPr>
      <t xml:space="preserve"> вул. Докучаєва 2, вул. Молодіжна 1, Івана  Малиша 137,106, вул. Іванівка 3,52,96,108, вул.  Ярославського 33, вул. Гризодубових 8,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126,4 км</t>
    </r>
    <r>
      <rPr>
        <sz val="12"/>
        <rFont val="Times New Roman"/>
        <family val="1"/>
        <charset val="204"/>
      </rPr>
      <t xml:space="preserve">  </t>
    </r>
  </si>
  <si>
    <r>
      <rPr>
        <b/>
        <sz val="12"/>
        <rFont val="Times New Roman"/>
        <family val="1"/>
        <charset val="204"/>
      </rPr>
      <t>Краснокутськ -  Пархомівка</t>
    </r>
    <r>
      <rPr>
        <sz val="12"/>
        <rFont val="Times New Roman"/>
        <family val="1"/>
        <charset val="204"/>
      </rPr>
      <t xml:space="preserve">:  вул. Михайла Друзя 10, вул. Паркова 16, вул. Садова 5, вул. Перемоги 23, вул. Малевича 40, вул. Докучаєва 15, вул. Стадіонна 29, вул. Козацька 18,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130,6 км</t>
    </r>
    <r>
      <rPr>
        <sz val="12"/>
        <rFont val="Times New Roman"/>
        <family val="1"/>
        <charset val="204"/>
      </rPr>
      <t xml:space="preserve">  </t>
    </r>
  </si>
  <si>
    <r>
      <rPr>
        <b/>
        <sz val="12"/>
        <rFont val="Times New Roman"/>
        <family val="1"/>
        <charset val="204"/>
      </rPr>
      <t>Краснокутськ - Пархомівка</t>
    </r>
    <r>
      <rPr>
        <sz val="12"/>
        <rFont val="Times New Roman"/>
        <family val="1"/>
        <charset val="204"/>
      </rPr>
      <t xml:space="preserve">:  Івана Малиша 110, вул. Декришивська 9, вул. Лісова 2, вул. Кооперативна 12, вул. Заводська 33, вул. Івана Кошкарьова 28, вул. Панаса Луньова 49, вул. Молодіжна 19, вул. Декришівська 15, вул. Кленова-Козацька </t>
    </r>
    <r>
      <rPr>
        <b/>
        <sz val="12"/>
        <rFont val="Times New Roman"/>
        <family val="1"/>
        <charset val="204"/>
      </rPr>
      <t>Пархомівка-Богодухів;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138,6 км</t>
    </r>
    <r>
      <rPr>
        <sz val="12"/>
        <rFont val="Times New Roman"/>
        <family val="1"/>
        <charset val="204"/>
      </rPr>
      <t xml:space="preserve">  </t>
    </r>
  </si>
  <si>
    <r>
      <rPr>
        <b/>
        <sz val="12"/>
        <rFont val="Times New Roman"/>
        <family val="1"/>
        <charset val="204"/>
      </rPr>
      <t>Краснокутськ -Сонцедарівка- Дублянка</t>
    </r>
    <r>
      <rPr>
        <sz val="12"/>
        <rFont val="Times New Roman"/>
        <family val="1"/>
        <charset val="204"/>
      </rPr>
      <t xml:space="preserve"> :вул Єдності, 14а, 50, 28 вул.Ставкова 4,  31 вул. Польова 14,  </t>
    </r>
    <r>
      <rPr>
        <b/>
        <sz val="12"/>
        <rFont val="Times New Roman"/>
        <family val="1"/>
        <charset val="204"/>
      </rPr>
      <t>Дублянка-Богодухів;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143,7 км</t>
    </r>
    <r>
      <rPr>
        <sz val="12"/>
        <rFont val="Times New Roman"/>
        <family val="1"/>
        <charset val="204"/>
      </rPr>
      <t xml:space="preserve">  </t>
    </r>
  </si>
  <si>
    <r>
      <rPr>
        <b/>
        <sz val="12"/>
        <rFont val="Times New Roman"/>
        <family val="1"/>
        <charset val="204"/>
      </rPr>
      <t>Краснокутськ - Дублянка</t>
    </r>
    <r>
      <rPr>
        <sz val="12"/>
        <rFont val="Times New Roman"/>
        <family val="1"/>
        <charset val="204"/>
      </rPr>
      <t xml:space="preserve"> :  вул. Співоча 22, 3 вул. Шевченка 2 , вул. Заводська 3, вул. Ставкова 3-6 ; </t>
    </r>
    <r>
      <rPr>
        <b/>
        <sz val="12"/>
        <rFont val="Times New Roman"/>
        <family val="1"/>
        <charset val="204"/>
      </rPr>
      <t>Дублянка-Богодухів;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135,4 км</t>
    </r>
    <r>
      <rPr>
        <sz val="12"/>
        <rFont val="Times New Roman"/>
        <family val="1"/>
        <charset val="204"/>
      </rPr>
      <t xml:space="preserve">  </t>
    </r>
  </si>
  <si>
    <r>
      <rPr>
        <b/>
        <sz val="12"/>
        <rFont val="Times New Roman"/>
        <family val="1"/>
        <charset val="204"/>
      </rPr>
      <t>Краснокутськ - Олексіївка</t>
    </r>
    <r>
      <rPr>
        <sz val="12"/>
        <rFont val="Times New Roman"/>
        <family val="1"/>
        <charset val="204"/>
      </rPr>
      <t xml:space="preserve"> : вул.Центральна21, вул. Центральна-Тичини, вул. Центральна-Шкільна, вул. Центральна-Вишнева, вул. Центральна-Широка, вул, Широка-Черемушна, вул. Черемушна-Центральний, вул. Центральна 5, перехристя Миру- вул. Зіркова, вул. Вишнева-Черемошна 51,  вул Широка-Центральна 28, вул. Черемушна -Шкільна, вул. тичини-Степова, вул. Центральна 19,вул. Івана Франка 9, вул. Тичини 4. </t>
    </r>
    <r>
      <rPr>
        <b/>
        <sz val="12"/>
        <rFont val="Times New Roman"/>
        <family val="1"/>
        <charset val="204"/>
      </rPr>
      <t>Олексіївка-Богодухів;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150.3 км</t>
    </r>
    <r>
      <rPr>
        <sz val="12"/>
        <rFont val="Times New Roman"/>
        <family val="1"/>
        <charset val="204"/>
      </rPr>
      <t xml:space="preserve">  </t>
    </r>
  </si>
  <si>
    <t>СБМ -18,0</t>
  </si>
  <si>
    <r>
      <rPr>
        <b/>
        <sz val="12"/>
        <rFont val="Times New Roman"/>
        <family val="1"/>
        <charset val="204"/>
      </rPr>
      <t>Краснокутськ - Водяне</t>
    </r>
    <r>
      <rPr>
        <sz val="12"/>
        <rFont val="Times New Roman"/>
        <family val="1"/>
        <charset val="204"/>
      </rPr>
      <t xml:space="preserve">: вул.Миру 6, 41,58,77,125, перехрестя Степової і пров. Свободи, вул. Підлісна, вул. Миру 132, вул. Миру 151 </t>
    </r>
    <r>
      <rPr>
        <b/>
        <sz val="12"/>
        <rFont val="Times New Roman"/>
        <family val="1"/>
        <charset val="204"/>
      </rPr>
      <t>Водяна-Богодухів;</t>
    </r>
    <r>
      <rPr>
        <sz val="12"/>
        <rFont val="Times New Roman"/>
        <family val="1"/>
        <charset val="204"/>
      </rPr>
      <t xml:space="preserve">  </t>
    </r>
    <r>
      <rPr>
        <b/>
        <sz val="12"/>
        <rFont val="Times New Roman"/>
        <family val="1"/>
        <charset val="204"/>
      </rPr>
      <t>Богодухів-Краснокутськ</t>
    </r>
    <r>
      <rPr>
        <sz val="12"/>
        <rFont val="Times New Roman"/>
        <family val="1"/>
        <charset val="204"/>
      </rPr>
      <t xml:space="preserve">  </t>
    </r>
    <r>
      <rPr>
        <b/>
        <sz val="12"/>
        <rFont val="Times New Roman"/>
        <family val="1"/>
        <charset val="204"/>
      </rPr>
      <t>= 144,6 км</t>
    </r>
    <r>
      <rPr>
        <sz val="12"/>
        <rFont val="Times New Roman"/>
        <family val="1"/>
        <charset val="204"/>
      </rPr>
      <t xml:space="preserve">  </t>
    </r>
  </si>
  <si>
    <t>КРАСНОКУТСЬК - 10 конт.   7,5 м3</t>
  </si>
  <si>
    <t>ОЛЕНІВСЬКЕ - 4 конт.  3м3        МУРАФА - 45 конт.  33,75 м3</t>
  </si>
  <si>
    <t>ОСНОВИНЦІ - 15 конт.     11,25 м3</t>
  </si>
  <si>
    <t>ПАРХОМІВКА - 66 конт.  49,5 м3             СТЕПАНІВКА - 5 конт.    3,75 м3</t>
  </si>
  <si>
    <t>СОНЦЕДАРІВКА - 5 конт.  3,75 м3    ДУБЛЯНКА - 23 конт.  17,25 м3</t>
  </si>
  <si>
    <t>ПЕТРІВСЬКЕ - 2 конт.   1,5 м3         КАЧАЛІВСЬКЕ - 19 конт. 14,25 м3</t>
  </si>
  <si>
    <t>ВОДЯНЕ -20 конт.   15,0 м3         ОЛЕКСІЇВКА - 21 конт.  15,75 м3</t>
  </si>
  <si>
    <t>ГОРОДНЄ - 19 конт.  14,25 м3        КОЗІЇВКА - 42 конт.  31,5 м3</t>
  </si>
  <si>
    <t>КРАСНОКУТСЬК - 22 конт.   16,5 м3</t>
  </si>
  <si>
    <t>КРАСНОКУТСЬК - 28 конт.   21,0 м3</t>
  </si>
  <si>
    <t>КРАСНОКУТСЬК - 25 конт.   18,75 м3</t>
  </si>
  <si>
    <t>КРАСНОКУТСЬК - 13 конт.   9,75 м3</t>
  </si>
  <si>
    <t>КРАСНОКУТСЬК - 11 конт.   8,25 м3</t>
  </si>
  <si>
    <t>КРАСНОКУТСЬК - 17 конт.   12,75 м3</t>
  </si>
  <si>
    <t>ЧЕРНЕЩИНА - 30 конт.    22,5 м3</t>
  </si>
  <si>
    <t>МАЗ 10,0 робота автомобіля 120,6км х 20,3/100 х</t>
  </si>
  <si>
    <t>МАЗ 10,0 робота автомобіля 126,4 км х 20,3/100 х</t>
  </si>
  <si>
    <t>1224,09х 48 рейси</t>
  </si>
  <si>
    <t>1282,96х 48рейси</t>
  </si>
  <si>
    <t>МАЗ 10,0 робота автомобіля 135,4км х 20,3/100 х</t>
  </si>
  <si>
    <t>1374,31 х 48рейси</t>
  </si>
  <si>
    <t>ГАЗ 7,5 робота автомобіля 125,8 км х 19,4/100 х</t>
  </si>
  <si>
    <t>1220,26 х 48рейси</t>
  </si>
  <si>
    <t>ГАЗ 7,5 робота автомобіля 144,6 км х 19,4/100 х</t>
  </si>
  <si>
    <t>1393,89 х 48рейси</t>
  </si>
  <si>
    <t>СКС 8,0 робота автомобіля 118,2км х 19,4/100 х</t>
  </si>
  <si>
    <t>1146,54 х 48рейси</t>
  </si>
  <si>
    <t>СКС 8,0 робота автомобіля 143,7 км х 19,4/100 х</t>
  </si>
  <si>
    <t>СБМ 18,0 робота автомобіля 131,8км х 28,8/100 х</t>
  </si>
  <si>
    <t>1897,92 х 48рейси</t>
  </si>
  <si>
    <t>СБМ 18,0 робота автомобіля 138,6 км х 28,8/100 х</t>
  </si>
  <si>
    <t>1995,84 х 48рейси</t>
  </si>
  <si>
    <t>СБМ 18,0 робота автомобіля 150,3 км х 28,8/100 х</t>
  </si>
  <si>
    <t>2164,32 х 48рейси</t>
  </si>
  <si>
    <t>1691,27х 48рейси</t>
  </si>
  <si>
    <t xml:space="preserve"> Кі-сть рейсів на 1 маш. = 48 х 31/  : 5 маш = 298 рейси</t>
  </si>
  <si>
    <t>1402,62 х 48рейси</t>
  </si>
  <si>
    <t>СБМ 13,0 робота автомобіля 104 км х 25,9/100 х</t>
  </si>
  <si>
    <t>СБМ 13,0 робота автомобіля130,6 км х 25,9/100 х</t>
  </si>
  <si>
    <t>СБМ 13,0 робота автомобіля 113 км х 25,9/100 х</t>
  </si>
  <si>
    <t>СБМ 13,0 робота автомобіля 106 км х 25,9/100 х</t>
  </si>
  <si>
    <t>СБМ 13,0 робота автомобіля 94 км х 25,9/100 х</t>
  </si>
  <si>
    <t>СБМ 13,0 робота автомобіля 98 км х 25,90/100 х</t>
  </si>
  <si>
    <t>1269,10 х 48 рейси</t>
  </si>
  <si>
    <t>Вартість на 1м3 = 1921147,20/16344 = 117,54</t>
  </si>
  <si>
    <t>СБМ 601/2 - 13,0</t>
  </si>
  <si>
    <t>Начальник</t>
  </si>
  <si>
    <t>Павло ГУЦЕЛЬ</t>
  </si>
  <si>
    <t>Головний бухгалтер</t>
  </si>
  <si>
    <t>Валерій ЦЕПЛИЙ</t>
  </si>
  <si>
    <t xml:space="preserve">Начальник </t>
  </si>
  <si>
    <t>Павло ГУЦЕЛь</t>
  </si>
  <si>
    <t>Павло  ГУЦЕЛЬ</t>
  </si>
  <si>
    <t>Валерій  ЦЕПЛИЙ</t>
  </si>
  <si>
    <t>Річний пробіг = 3480,5 км/1 рейс* 48 рейсів = 167 067 км</t>
  </si>
  <si>
    <t xml:space="preserve">ПРЯМІ МАТЕРІАЛЬНІ ВИТРАТИ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</si>
</sst>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5" x14ac:knownFonts="1">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Times New Roman"/>
      <family val="1"/>
      <charset val="204"/>
    </font>
    <font>
      <b/>
      <sz val="12"/>
      <name val="Times New Roman"/>
      <family val="1"/>
      <charset val="204"/>
    </font>
    <font>
      <b/>
      <sz val="10"/>
      <name val="Arial Cyr"/>
      <charset val="204"/>
    </font>
    <font>
      <sz val="12"/>
      <color indexed="8"/>
      <name val="Times New Roman"/>
      <family val="1"/>
      <charset val="204"/>
    </font>
    <font>
      <b/>
      <sz val="14"/>
      <name val="Times New Roman"/>
      <family val="1"/>
      <charset val="204"/>
    </font>
    <font>
      <b/>
      <sz val="11"/>
      <name val="Times New Roman"/>
      <family val="1"/>
      <charset val="204"/>
    </font>
    <font>
      <b/>
      <u/>
      <sz val="12"/>
      <name val="Times New Roman"/>
      <family val="1"/>
      <charset val="204"/>
    </font>
    <font>
      <sz val="14"/>
      <name val="Times New Roman"/>
      <family val="1"/>
      <charset val="204"/>
    </font>
    <font>
      <sz val="9"/>
      <color indexed="81"/>
      <name val="Tahoma"/>
      <family val="2"/>
      <charset val="204"/>
    </font>
    <font>
      <b/>
      <sz val="9"/>
      <color indexed="81"/>
      <name val="Tahoma"/>
      <family val="2"/>
      <charset val="204"/>
    </font>
    <font>
      <b/>
      <sz val="16"/>
      <name val="Times New Roman"/>
      <family val="1"/>
      <charset val="204"/>
    </font>
    <font>
      <b/>
      <i/>
      <sz val="10"/>
      <name val="Arial Cyr"/>
      <charset val="204"/>
    </font>
    <font>
      <sz val="12"/>
      <color rgb="FF000000"/>
      <name val="Times New Roman"/>
      <family val="1"/>
      <charset val="204"/>
    </font>
    <font>
      <b/>
      <sz val="12"/>
      <color rgb="FF000000"/>
      <name val="Times New Roman"/>
      <family val="1"/>
      <charset val="204"/>
    </font>
    <font>
      <sz val="10"/>
      <name val="Times New Roman"/>
      <family val="1"/>
      <charset val="204"/>
    </font>
    <font>
      <b/>
      <sz val="10"/>
      <name val="Times New Roman"/>
      <family val="1"/>
      <charset val="204"/>
    </font>
    <font>
      <b/>
      <i/>
      <sz val="12"/>
      <name val="Times New Roman"/>
      <family val="1"/>
      <charset val="204"/>
    </font>
    <font>
      <sz val="11"/>
      <name val="Times New Roman"/>
      <family val="1"/>
      <charset val="204"/>
    </font>
    <font>
      <i/>
      <sz val="11"/>
      <name val="Times New Roman"/>
      <family val="1"/>
      <charset val="204"/>
    </font>
    <font>
      <i/>
      <sz val="10"/>
      <name val="Arial Cyr"/>
      <charset val="204"/>
    </font>
    <font>
      <b/>
      <i/>
      <sz val="11"/>
      <name val="Times New Roman"/>
      <family val="1"/>
      <charset val="204"/>
    </font>
    <font>
      <b/>
      <i/>
      <sz val="10"/>
      <name val="Times New Roman"/>
      <family val="1"/>
      <charset val="204"/>
    </font>
    <font>
      <sz val="9"/>
      <color indexed="8"/>
      <name val="Times New Roman"/>
      <family val="1"/>
      <charset val="204"/>
    </font>
    <font>
      <sz val="11"/>
      <color indexed="8"/>
      <name val="Times New Roman"/>
      <family val="1"/>
      <charset val="204"/>
    </font>
    <font>
      <i/>
      <sz val="9"/>
      <color indexed="8"/>
      <name val="Times New Roman"/>
      <family val="1"/>
      <charset val="204"/>
    </font>
    <font>
      <sz val="10"/>
      <color indexed="8"/>
      <name val="Times New Roman"/>
      <family val="1"/>
      <charset val="204"/>
    </font>
    <font>
      <sz val="11"/>
      <name val="Arial Cyr"/>
      <charset val="204"/>
    </font>
    <font>
      <b/>
      <sz val="11"/>
      <color indexed="8"/>
      <name val="Times New Roman"/>
      <family val="1"/>
      <charset val="204"/>
    </font>
    <font>
      <sz val="14"/>
      <color indexed="8"/>
      <name val="Times New Roman"/>
      <family val="1"/>
      <charset val="204"/>
    </font>
    <font>
      <b/>
      <i/>
      <sz val="12"/>
      <color indexed="8"/>
      <name val="Times New Roman"/>
      <family val="1"/>
      <charset val="204"/>
    </font>
    <font>
      <b/>
      <sz val="12"/>
      <color indexed="8"/>
      <name val="Times New Roman"/>
      <family val="1"/>
      <charset val="204"/>
    </font>
    <font>
      <b/>
      <sz val="10"/>
      <color indexed="8"/>
      <name val="Times New Roman"/>
      <family val="1"/>
      <charset val="204"/>
    </font>
    <font>
      <sz val="8"/>
      <color indexed="8"/>
      <name val="Times New Roman"/>
      <family val="1"/>
      <charset val="204"/>
    </font>
    <font>
      <b/>
      <sz val="12"/>
      <name val="Arial Cyr"/>
      <charset val="204"/>
    </font>
    <font>
      <sz val="11"/>
      <color theme="1"/>
      <name val="Calibri"/>
      <family val="2"/>
      <scheme val="minor"/>
    </font>
    <font>
      <sz val="14"/>
      <name val="Arial Cyr"/>
      <charset val="204"/>
    </font>
    <font>
      <b/>
      <sz val="8"/>
      <name val="Arial Cyr"/>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style="thin">
        <color indexed="64"/>
      </right>
      <top/>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4" borderId="1" applyNumberFormat="0" applyAlignment="0" applyProtection="0"/>
    <xf numFmtId="0" fontId="4" fillId="11" borderId="2" applyNumberFormat="0" applyAlignment="0" applyProtection="0"/>
    <xf numFmtId="0" fontId="5" fillId="11" borderId="1" applyNumberFormat="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0" borderId="6" applyNumberFormat="0" applyFill="0" applyAlignment="0" applyProtection="0"/>
    <xf numFmtId="0" fontId="10" fillId="12" borderId="7" applyNumberFormat="0" applyAlignment="0" applyProtection="0"/>
    <xf numFmtId="0" fontId="11" fillId="0" borderId="0" applyNumberFormat="0" applyFill="0" applyBorder="0" applyAlignment="0" applyProtection="0"/>
    <xf numFmtId="0" fontId="12" fillId="13" borderId="0" applyNumberFormat="0" applyBorder="0" applyAlignment="0" applyProtection="0"/>
    <xf numFmtId="0" fontId="13" fillId="2" borderId="0" applyNumberFormat="0" applyBorder="0" applyAlignment="0" applyProtection="0"/>
    <xf numFmtId="0" fontId="14" fillId="0" borderId="0" applyNumberFormat="0" applyFill="0" applyBorder="0" applyAlignment="0" applyProtection="0"/>
    <xf numFmtId="0" fontId="1" fillId="14" borderId="8" applyNumberFormat="0" applyFont="0" applyAlignment="0" applyProtection="0"/>
    <xf numFmtId="0" fontId="15" fillId="0" borderId="9"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 fillId="0" borderId="0"/>
    <xf numFmtId="0" fontId="52" fillId="0" borderId="0"/>
  </cellStyleXfs>
  <cellXfs count="231">
    <xf numFmtId="0" fontId="0" fillId="0" borderId="0" xfId="0"/>
    <xf numFmtId="0" fontId="18" fillId="0" borderId="10" xfId="0" applyFont="1" applyBorder="1"/>
    <xf numFmtId="0" fontId="18" fillId="0" borderId="10" xfId="0" applyFont="1" applyBorder="1" applyAlignment="1">
      <alignment horizontal="center"/>
    </xf>
    <xf numFmtId="2" fontId="18" fillId="0" borderId="10" xfId="0" applyNumberFormat="1" applyFont="1" applyBorder="1" applyAlignment="1">
      <alignment horizontal="center"/>
    </xf>
    <xf numFmtId="0" fontId="19" fillId="0" borderId="10" xfId="0" applyFont="1" applyBorder="1" applyAlignment="1">
      <alignment horizontal="center"/>
    </xf>
    <xf numFmtId="0" fontId="30" fillId="0" borderId="10" xfId="0" applyFont="1" applyBorder="1"/>
    <xf numFmtId="0" fontId="30" fillId="0" borderId="13" xfId="0" applyFont="1" applyBorder="1" applyAlignment="1">
      <alignment vertical="center"/>
    </xf>
    <xf numFmtId="0" fontId="30" fillId="0" borderId="13" xfId="0" applyFont="1" applyBorder="1" applyAlignment="1">
      <alignment vertical="center" wrapText="1"/>
    </xf>
    <xf numFmtId="0" fontId="31" fillId="0" borderId="13" xfId="0" applyFont="1" applyBorder="1" applyAlignment="1">
      <alignment vertical="center" wrapText="1"/>
    </xf>
    <xf numFmtId="0" fontId="30" fillId="0" borderId="10" xfId="0" applyFont="1" applyBorder="1" applyAlignment="1">
      <alignment wrapText="1"/>
    </xf>
    <xf numFmtId="0" fontId="25" fillId="0" borderId="10" xfId="0" applyFont="1" applyBorder="1"/>
    <xf numFmtId="0" fontId="25" fillId="0" borderId="10" xfId="0" applyFont="1" applyBorder="1" applyAlignment="1">
      <alignment wrapText="1"/>
    </xf>
    <xf numFmtId="2" fontId="25" fillId="0" borderId="10" xfId="0" applyNumberFormat="1" applyFont="1" applyBorder="1"/>
    <xf numFmtId="0" fontId="22" fillId="0" borderId="10" xfId="0" applyFont="1" applyBorder="1"/>
    <xf numFmtId="2" fontId="22" fillId="0" borderId="10" xfId="0" applyNumberFormat="1" applyFont="1" applyBorder="1"/>
    <xf numFmtId="0" fontId="22" fillId="16" borderId="10" xfId="0" applyFont="1" applyFill="1" applyBorder="1" applyAlignment="1">
      <alignment horizontal="center"/>
    </xf>
    <xf numFmtId="0" fontId="22" fillId="16" borderId="10" xfId="0" applyFont="1" applyFill="1" applyBorder="1" applyAlignment="1">
      <alignment horizontal="center" wrapText="1"/>
    </xf>
    <xf numFmtId="0" fontId="25" fillId="0" borderId="0" xfId="0" applyFont="1"/>
    <xf numFmtId="0" fontId="28" fillId="0" borderId="0" xfId="0" applyFont="1"/>
    <xf numFmtId="0" fontId="25" fillId="0" borderId="0" xfId="0" applyFont="1" applyAlignment="1">
      <alignment wrapText="1"/>
    </xf>
    <xf numFmtId="2" fontId="25" fillId="0" borderId="0" xfId="0" applyNumberFormat="1" applyFont="1"/>
    <xf numFmtId="0" fontId="22" fillId="0" borderId="0" xfId="0" applyFont="1"/>
    <xf numFmtId="2" fontId="22" fillId="0" borderId="0" xfId="0" applyNumberFormat="1" applyFont="1"/>
    <xf numFmtId="0" fontId="22" fillId="17" borderId="0" xfId="0" applyFont="1" applyFill="1" applyAlignment="1">
      <alignment horizontal="center"/>
    </xf>
    <xf numFmtId="0" fontId="22" fillId="17" borderId="0" xfId="0" applyFont="1" applyFill="1" applyAlignment="1">
      <alignment horizontal="center" wrapText="1"/>
    </xf>
    <xf numFmtId="2" fontId="0" fillId="0" borderId="0" xfId="0" applyNumberFormat="1"/>
    <xf numFmtId="0" fontId="29" fillId="0" borderId="10" xfId="0" applyFont="1" applyBorder="1"/>
    <xf numFmtId="4" fontId="0" fillId="0" borderId="0" xfId="0" applyNumberFormat="1"/>
    <xf numFmtId="4" fontId="19" fillId="0" borderId="10" xfId="0" applyNumberFormat="1" applyFont="1" applyBorder="1" applyAlignment="1">
      <alignment horizontal="center" wrapText="1"/>
    </xf>
    <xf numFmtId="0" fontId="30" fillId="0" borderId="10" xfId="0" applyFont="1" applyBorder="1" applyAlignment="1">
      <alignment horizontal="center" vertical="top" wrapText="1"/>
    </xf>
    <xf numFmtId="0" fontId="30" fillId="0" borderId="10" xfId="0" applyFont="1" applyBorder="1" applyAlignment="1">
      <alignment horizontal="center" vertical="top"/>
    </xf>
    <xf numFmtId="0" fontId="32" fillId="17" borderId="0" xfId="0" applyFont="1" applyFill="1"/>
    <xf numFmtId="0" fontId="33" fillId="17" borderId="0" xfId="0" applyFont="1" applyFill="1"/>
    <xf numFmtId="0" fontId="32" fillId="0" borderId="0" xfId="0" applyFont="1"/>
    <xf numFmtId="0" fontId="35" fillId="0" borderId="0" xfId="0" applyFont="1" applyAlignment="1">
      <alignment horizontal="center"/>
    </xf>
    <xf numFmtId="0" fontId="35" fillId="0" borderId="10" xfId="0" applyFont="1" applyBorder="1" applyAlignment="1">
      <alignment horizontal="center"/>
    </xf>
    <xf numFmtId="2" fontId="36" fillId="0" borderId="0" xfId="0" applyNumberFormat="1" applyFont="1"/>
    <xf numFmtId="2" fontId="33" fillId="0" borderId="18" xfId="0" applyNumberFormat="1" applyFont="1" applyBorder="1" applyAlignment="1">
      <alignment horizontal="left" wrapText="1"/>
    </xf>
    <xf numFmtId="2" fontId="36" fillId="0" borderId="10" xfId="0" applyNumberFormat="1" applyFont="1" applyBorder="1"/>
    <xf numFmtId="0" fontId="37" fillId="0" borderId="10" xfId="0" applyFont="1" applyBorder="1"/>
    <xf numFmtId="2" fontId="35" fillId="0" borderId="0" xfId="0" applyNumberFormat="1" applyFont="1"/>
    <xf numFmtId="2" fontId="37" fillId="0" borderId="10" xfId="0" applyNumberFormat="1" applyFont="1" applyBorder="1"/>
    <xf numFmtId="2" fontId="32" fillId="0" borderId="11" xfId="0" applyNumberFormat="1" applyFont="1" applyBorder="1" applyAlignment="1">
      <alignment horizontal="left" wrapText="1"/>
    </xf>
    <xf numFmtId="2" fontId="38" fillId="0" borderId="10" xfId="0" applyNumberFormat="1" applyFont="1" applyBorder="1"/>
    <xf numFmtId="2" fontId="18" fillId="0" borderId="0" xfId="0" applyNumberFormat="1" applyFont="1"/>
    <xf numFmtId="2" fontId="38" fillId="0" borderId="0" xfId="0" applyNumberFormat="1" applyFont="1"/>
    <xf numFmtId="0" fontId="35" fillId="0" borderId="19" xfId="0" applyFont="1" applyBorder="1" applyAlignment="1">
      <alignment vertical="center" wrapText="1"/>
    </xf>
    <xf numFmtId="0" fontId="35" fillId="0" borderId="20" xfId="0" applyFont="1" applyBorder="1" applyAlignment="1">
      <alignment vertical="center" wrapText="1"/>
    </xf>
    <xf numFmtId="2" fontId="23" fillId="0" borderId="10" xfId="0" applyNumberFormat="1" applyFont="1" applyBorder="1" applyAlignment="1">
      <alignment horizontal="center"/>
    </xf>
    <xf numFmtId="2" fontId="23" fillId="0" borderId="0" xfId="0" applyNumberFormat="1" applyFont="1" applyAlignment="1">
      <alignment horizontal="center"/>
    </xf>
    <xf numFmtId="0" fontId="21" fillId="0" borderId="0" xfId="0" applyFont="1" applyAlignment="1">
      <alignment horizontal="right"/>
    </xf>
    <xf numFmtId="0" fontId="18" fillId="0" borderId="0" xfId="0" applyFont="1"/>
    <xf numFmtId="2" fontId="42" fillId="0" borderId="0" xfId="0" applyNumberFormat="1" applyFont="1" applyAlignment="1">
      <alignment horizontal="right" vertical="center"/>
    </xf>
    <xf numFmtId="2" fontId="42" fillId="0" borderId="0" xfId="0" applyNumberFormat="1" applyFont="1" applyAlignment="1">
      <alignment horizontal="right"/>
    </xf>
    <xf numFmtId="2" fontId="41" fillId="0" borderId="0" xfId="0" applyNumberFormat="1" applyFont="1" applyAlignment="1">
      <alignment horizontal="right"/>
    </xf>
    <xf numFmtId="2" fontId="45" fillId="0" borderId="0" xfId="0" applyNumberFormat="1" applyFont="1" applyAlignment="1">
      <alignment horizontal="right"/>
    </xf>
    <xf numFmtId="2" fontId="33" fillId="0" borderId="0" xfId="0" applyNumberFormat="1" applyFont="1"/>
    <xf numFmtId="2" fontId="19" fillId="0" borderId="0" xfId="0" applyNumberFormat="1" applyFont="1"/>
    <xf numFmtId="0" fontId="19" fillId="0" borderId="0" xfId="0" applyFont="1"/>
    <xf numFmtId="2" fontId="23" fillId="0" borderId="0" xfId="0" applyNumberFormat="1" applyFont="1"/>
    <xf numFmtId="0" fontId="41" fillId="0" borderId="0" xfId="0" applyFont="1"/>
    <xf numFmtId="2" fontId="41" fillId="0" borderId="0" xfId="0" applyNumberFormat="1" applyFont="1"/>
    <xf numFmtId="0" fontId="21" fillId="0" borderId="0" xfId="0" applyFont="1"/>
    <xf numFmtId="2" fontId="43" fillId="0" borderId="0" xfId="0" applyNumberFormat="1" applyFont="1" applyAlignment="1">
      <alignment horizontal="center"/>
    </xf>
    <xf numFmtId="2" fontId="48" fillId="0" borderId="0" xfId="0" applyNumberFormat="1" applyFont="1" applyAlignment="1">
      <alignment horizontal="center" vertical="center"/>
    </xf>
    <xf numFmtId="0" fontId="23" fillId="0" borderId="0" xfId="0" applyFont="1" applyAlignment="1">
      <alignment horizontal="center"/>
    </xf>
    <xf numFmtId="0" fontId="46" fillId="0" borderId="0" xfId="24" applyFont="1"/>
    <xf numFmtId="0" fontId="41" fillId="0" borderId="0" xfId="24" applyFont="1"/>
    <xf numFmtId="0" fontId="43" fillId="0" borderId="0" xfId="24" applyFont="1" applyAlignment="1">
      <alignment horizontal="center" wrapText="1"/>
    </xf>
    <xf numFmtId="0" fontId="21" fillId="0" borderId="0" xfId="24" applyFont="1"/>
    <xf numFmtId="2" fontId="21" fillId="0" borderId="0" xfId="24" applyNumberFormat="1" applyFont="1" applyAlignment="1">
      <alignment wrapText="1"/>
    </xf>
    <xf numFmtId="2" fontId="21" fillId="0" borderId="0" xfId="24" applyNumberFormat="1" applyFont="1"/>
    <xf numFmtId="2" fontId="47" fillId="0" borderId="0" xfId="24" applyNumberFormat="1" applyFont="1"/>
    <xf numFmtId="2" fontId="45" fillId="0" borderId="0" xfId="24" applyNumberFormat="1" applyFont="1"/>
    <xf numFmtId="0" fontId="45" fillId="0" borderId="0" xfId="24" applyFont="1"/>
    <xf numFmtId="0" fontId="18" fillId="0" borderId="0" xfId="0" applyFont="1" applyAlignment="1">
      <alignment horizontal="center" wrapText="1"/>
    </xf>
    <xf numFmtId="2" fontId="18" fillId="0" borderId="10" xfId="0" applyNumberFormat="1" applyFont="1" applyBorder="1"/>
    <xf numFmtId="164" fontId="19" fillId="0" borderId="10" xfId="0" applyNumberFormat="1" applyFont="1" applyBorder="1" applyAlignment="1">
      <alignment horizontal="center" wrapText="1"/>
    </xf>
    <xf numFmtId="0" fontId="18" fillId="0" borderId="10" xfId="0" applyFont="1" applyBorder="1" applyAlignment="1">
      <alignment horizontal="left" vertical="top"/>
    </xf>
    <xf numFmtId="0" fontId="19" fillId="15" borderId="10" xfId="0" applyFont="1" applyFill="1" applyBorder="1" applyAlignment="1">
      <alignment horizontal="left" vertical="top" wrapText="1"/>
    </xf>
    <xf numFmtId="4" fontId="19" fillId="17" borderId="10" xfId="0" applyNumberFormat="1" applyFont="1" applyFill="1" applyBorder="1" applyAlignment="1">
      <alignment horizontal="right" vertical="top"/>
    </xf>
    <xf numFmtId="4" fontId="19" fillId="0" borderId="10" xfId="0" applyNumberFormat="1" applyFont="1" applyBorder="1" applyAlignment="1">
      <alignment horizontal="right" vertical="top"/>
    </xf>
    <xf numFmtId="4" fontId="18" fillId="0" borderId="10" xfId="0" applyNumberFormat="1" applyFont="1" applyBorder="1" applyAlignment="1">
      <alignment horizontal="right" vertical="top"/>
    </xf>
    <xf numFmtId="4" fontId="18" fillId="17" borderId="10" xfId="0" applyNumberFormat="1" applyFont="1" applyFill="1" applyBorder="1" applyAlignment="1">
      <alignment horizontal="right" vertical="top"/>
    </xf>
    <xf numFmtId="0" fontId="19" fillId="0" borderId="10" xfId="0" applyFont="1" applyBorder="1" applyAlignment="1">
      <alignment horizontal="left" vertical="top"/>
    </xf>
    <xf numFmtId="0" fontId="19" fillId="17" borderId="10" xfId="0" applyFont="1" applyFill="1" applyBorder="1" applyAlignment="1">
      <alignment horizontal="left" vertical="top"/>
    </xf>
    <xf numFmtId="49" fontId="18" fillId="0" borderId="10" xfId="0" applyNumberFormat="1" applyFont="1" applyBorder="1" applyAlignment="1">
      <alignment horizontal="left" vertical="top"/>
    </xf>
    <xf numFmtId="0" fontId="39" fillId="0" borderId="0" xfId="0" applyFont="1"/>
    <xf numFmtId="0" fontId="19" fillId="0" borderId="0" xfId="0" applyFont="1" applyAlignment="1">
      <alignment wrapText="1"/>
    </xf>
    <xf numFmtId="0" fontId="20" fillId="0" borderId="24" xfId="0" applyFont="1" applyBorder="1" applyAlignment="1">
      <alignment vertical="center"/>
    </xf>
    <xf numFmtId="0" fontId="20" fillId="0" borderId="0" xfId="0" applyFont="1" applyAlignment="1">
      <alignment vertical="center"/>
    </xf>
    <xf numFmtId="0" fontId="19" fillId="18" borderId="24" xfId="0" applyFont="1" applyFill="1" applyBorder="1"/>
    <xf numFmtId="0" fontId="39" fillId="18" borderId="17" xfId="0" applyFont="1" applyFill="1" applyBorder="1"/>
    <xf numFmtId="2" fontId="29" fillId="0" borderId="10" xfId="0" applyNumberFormat="1" applyFont="1" applyBorder="1"/>
    <xf numFmtId="0" fontId="18" fillId="0" borderId="0" xfId="0" applyFont="1" applyAlignment="1">
      <alignment wrapText="1"/>
    </xf>
    <xf numFmtId="0" fontId="53" fillId="0" borderId="0" xfId="0" applyFont="1" applyAlignment="1">
      <alignment wrapText="1"/>
    </xf>
    <xf numFmtId="0" fontId="20" fillId="0" borderId="0" xfId="0" applyFont="1"/>
    <xf numFmtId="0" fontId="19" fillId="0" borderId="10" xfId="0" applyFont="1" applyBorder="1" applyAlignment="1">
      <alignment horizontal="center" vertical="top"/>
    </xf>
    <xf numFmtId="0" fontId="19" fillId="0" borderId="10" xfId="0" applyFont="1" applyBorder="1" applyAlignment="1">
      <alignment horizontal="center" vertical="top" wrapText="1"/>
    </xf>
    <xf numFmtId="0" fontId="50" fillId="0" borderId="0" xfId="0" applyFont="1" applyAlignment="1">
      <alignment horizontal="center" vertical="center" wrapText="1"/>
    </xf>
    <xf numFmtId="0" fontId="41" fillId="0" borderId="0" xfId="0" applyFont="1" applyAlignment="1">
      <alignment horizontal="center" vertical="center" wrapText="1"/>
    </xf>
    <xf numFmtId="0" fontId="21" fillId="0" borderId="0" xfId="0" applyFont="1" applyAlignment="1">
      <alignment horizontal="center"/>
    </xf>
    <xf numFmtId="0" fontId="21" fillId="0" borderId="0" xfId="24" applyFont="1" applyAlignment="1">
      <alignment horizontal="right"/>
    </xf>
    <xf numFmtId="0" fontId="46" fillId="0" borderId="0" xfId="24" applyFont="1" applyAlignment="1">
      <alignment horizontal="left"/>
    </xf>
    <xf numFmtId="0" fontId="23" fillId="0" borderId="0" xfId="0" applyFont="1"/>
    <xf numFmtId="0" fontId="33" fillId="0" borderId="0" xfId="0" applyFont="1"/>
    <xf numFmtId="0" fontId="21" fillId="0" borderId="0" xfId="0" applyFont="1" applyAlignment="1">
      <alignment horizontal="center" vertical="center"/>
    </xf>
    <xf numFmtId="0" fontId="21" fillId="0" borderId="0" xfId="24" applyFont="1" applyAlignment="1">
      <alignment horizontal="center" wrapText="1"/>
    </xf>
    <xf numFmtId="2" fontId="48" fillId="0" borderId="0" xfId="24" applyNumberFormat="1" applyFont="1" applyAlignment="1">
      <alignment horizontal="center" vertical="center"/>
    </xf>
    <xf numFmtId="0" fontId="47" fillId="0" borderId="0" xfId="0" applyFont="1" applyAlignment="1">
      <alignment horizontal="center"/>
    </xf>
    <xf numFmtId="0" fontId="34" fillId="0" borderId="0" xfId="0" applyFont="1" applyAlignment="1">
      <alignment horizontal="center"/>
    </xf>
    <xf numFmtId="0" fontId="35" fillId="0" borderId="0" xfId="0" applyFont="1"/>
    <xf numFmtId="0" fontId="40" fillId="0" borderId="0" xfId="0" applyFont="1" applyAlignment="1">
      <alignment horizontal="center" vertical="center" wrapText="1"/>
    </xf>
    <xf numFmtId="0" fontId="32" fillId="0" borderId="11" xfId="0" applyFont="1" applyBorder="1"/>
    <xf numFmtId="0" fontId="25" fillId="17" borderId="0" xfId="0" applyFont="1" applyFill="1" applyAlignment="1">
      <alignment horizontal="center"/>
    </xf>
    <xf numFmtId="49" fontId="20" fillId="0" borderId="0" xfId="0" applyNumberFormat="1" applyFont="1" applyAlignment="1">
      <alignment vertical="center" wrapText="1"/>
    </xf>
    <xf numFmtId="0" fontId="33" fillId="0" borderId="0" xfId="0" applyFont="1" applyAlignment="1">
      <alignment wrapText="1"/>
    </xf>
    <xf numFmtId="0" fontId="33" fillId="0" borderId="0" xfId="0" applyFont="1" applyAlignment="1">
      <alignment vertical="top" wrapText="1"/>
    </xf>
    <xf numFmtId="0" fontId="33" fillId="0" borderId="0" xfId="0" applyFont="1" applyAlignment="1">
      <alignment vertical="center" wrapText="1"/>
    </xf>
    <xf numFmtId="0" fontId="33" fillId="0" borderId="0" xfId="0" applyFont="1" applyAlignment="1">
      <alignment vertical="center"/>
    </xf>
    <xf numFmtId="0" fontId="18" fillId="0" borderId="0" xfId="0" applyFont="1" applyAlignment="1">
      <alignment horizontal="center"/>
    </xf>
    <xf numFmtId="0" fontId="18" fillId="0" borderId="0" xfId="0" applyFont="1" applyAlignment="1">
      <alignment vertical="center" wrapText="1"/>
    </xf>
    <xf numFmtId="0" fontId="53" fillId="0" borderId="0" xfId="0" applyFont="1" applyAlignment="1">
      <alignment vertical="center" wrapText="1"/>
    </xf>
    <xf numFmtId="0" fontId="31" fillId="15" borderId="0" xfId="0" applyFont="1" applyFill="1" applyAlignment="1">
      <alignment horizontal="left" vertical="top" wrapText="1"/>
    </xf>
    <xf numFmtId="0" fontId="32" fillId="0" borderId="0" xfId="0" applyFont="1" applyAlignment="1">
      <alignment horizontal="right"/>
    </xf>
    <xf numFmtId="0" fontId="32" fillId="0" borderId="0" xfId="0" applyFont="1" applyAlignment="1">
      <alignment horizontal="left"/>
    </xf>
    <xf numFmtId="2" fontId="41" fillId="0" borderId="0" xfId="0" applyNumberFormat="1" applyFont="1" applyAlignment="1">
      <alignment horizontal="right" vertical="center"/>
    </xf>
    <xf numFmtId="0" fontId="41" fillId="0" borderId="0" xfId="0" applyFont="1" applyAlignment="1">
      <alignment horizontal="left" wrapText="1"/>
    </xf>
    <xf numFmtId="2" fontId="23" fillId="0" borderId="10" xfId="0" applyNumberFormat="1" applyFont="1" applyBorder="1"/>
    <xf numFmtId="0" fontId="35" fillId="0" borderId="10" xfId="0" applyFont="1" applyBorder="1" applyAlignment="1">
      <alignment vertical="center" wrapText="1"/>
    </xf>
    <xf numFmtId="0" fontId="0" fillId="0" borderId="10" xfId="0" applyBorder="1"/>
    <xf numFmtId="0" fontId="35" fillId="0" borderId="10" xfId="0" applyFont="1" applyBorder="1" applyAlignment="1">
      <alignment horizontal="left"/>
    </xf>
    <xf numFmtId="3" fontId="23" fillId="0" borderId="10" xfId="0" applyNumberFormat="1" applyFont="1" applyBorder="1" applyAlignment="1">
      <alignment horizontal="center"/>
    </xf>
    <xf numFmtId="0" fontId="25" fillId="0" borderId="0" xfId="0" applyFont="1" applyAlignment="1">
      <alignment horizontal="center"/>
    </xf>
    <xf numFmtId="0" fontId="18" fillId="15" borderId="10" xfId="0" applyFont="1" applyFill="1" applyBorder="1" applyAlignment="1">
      <alignment horizontal="left" vertical="top" wrapText="1"/>
    </xf>
    <xf numFmtId="4" fontId="19" fillId="0" borderId="27" xfId="0" applyNumberFormat="1" applyFont="1" applyBorder="1" applyAlignment="1">
      <alignment horizontal="center" wrapText="1"/>
    </xf>
    <xf numFmtId="4" fontId="20" fillId="0" borderId="0" xfId="0" applyNumberFormat="1" applyFont="1" applyAlignment="1">
      <alignment horizontal="left"/>
    </xf>
    <xf numFmtId="0" fontId="20" fillId="0" borderId="0" xfId="0" applyFont="1" applyAlignment="1">
      <alignment horizontal="left"/>
    </xf>
    <xf numFmtId="4" fontId="19" fillId="0" borderId="17" xfId="0" applyNumberFormat="1" applyFont="1" applyBorder="1" applyAlignment="1">
      <alignment horizontal="center" vertical="top"/>
    </xf>
    <xf numFmtId="4" fontId="19" fillId="0" borderId="18" xfId="0" applyNumberFormat="1" applyFont="1" applyBorder="1" applyAlignment="1">
      <alignment horizontal="center" vertical="top"/>
    </xf>
    <xf numFmtId="4" fontId="19" fillId="0" borderId="11" xfId="0" applyNumberFormat="1" applyFont="1" applyBorder="1" applyAlignment="1">
      <alignment horizontal="center" vertical="top"/>
    </xf>
    <xf numFmtId="0" fontId="22" fillId="0" borderId="0" xfId="0" applyFont="1" applyAlignment="1">
      <alignment horizontal="center" wrapText="1"/>
    </xf>
    <xf numFmtId="0" fontId="19" fillId="0" borderId="10" xfId="0" applyFont="1" applyBorder="1" applyAlignment="1">
      <alignment horizontal="center" vertical="top"/>
    </xf>
    <xf numFmtId="0" fontId="51" fillId="0" borderId="10" xfId="0" applyFont="1" applyBorder="1" applyAlignment="1">
      <alignment horizontal="center" vertical="top"/>
    </xf>
    <xf numFmtId="0" fontId="19" fillId="0" borderId="10" xfId="0" applyFont="1" applyBorder="1" applyAlignment="1">
      <alignment horizontal="center" vertical="top" wrapText="1"/>
    </xf>
    <xf numFmtId="0" fontId="19" fillId="0" borderId="17" xfId="0" applyFont="1" applyBorder="1" applyAlignment="1">
      <alignment horizontal="center" vertical="top" wrapText="1"/>
    </xf>
    <xf numFmtId="0" fontId="19" fillId="0" borderId="11" xfId="0" applyFont="1" applyBorder="1" applyAlignment="1">
      <alignment horizontal="center" vertical="top" wrapText="1"/>
    </xf>
    <xf numFmtId="0" fontId="46" fillId="0" borderId="0" xfId="24" applyFont="1" applyAlignment="1">
      <alignment horizontal="center" wrapText="1"/>
    </xf>
    <xf numFmtId="0" fontId="46" fillId="0" borderId="0" xfId="24" applyFont="1" applyAlignment="1">
      <alignment horizontal="center"/>
    </xf>
    <xf numFmtId="0" fontId="50" fillId="0" borderId="0" xfId="0" applyFont="1" applyAlignment="1">
      <alignment horizontal="center" vertical="center" wrapText="1"/>
    </xf>
    <xf numFmtId="0" fontId="0" fillId="0" borderId="0" xfId="0" applyAlignment="1">
      <alignment horizontal="center"/>
    </xf>
    <xf numFmtId="0" fontId="41" fillId="0" borderId="0" xfId="0" applyFont="1" applyAlignment="1">
      <alignment horizontal="center" vertical="center" wrapText="1"/>
    </xf>
    <xf numFmtId="0" fontId="21" fillId="0" borderId="0" xfId="0" applyFont="1" applyAlignment="1">
      <alignment horizontal="center"/>
    </xf>
    <xf numFmtId="0" fontId="21" fillId="0" borderId="0" xfId="24" applyFont="1" applyAlignment="1">
      <alignment horizontal="right"/>
    </xf>
    <xf numFmtId="0" fontId="46" fillId="0" borderId="0" xfId="24" applyFont="1" applyAlignment="1">
      <alignment horizontal="left"/>
    </xf>
    <xf numFmtId="0" fontId="21" fillId="0" borderId="0" xfId="0" applyFont="1" applyAlignment="1">
      <alignment horizontal="center" vertical="center"/>
    </xf>
    <xf numFmtId="0" fontId="21" fillId="0" borderId="0" xfId="24" applyFont="1" applyAlignment="1">
      <alignment horizontal="center" wrapText="1"/>
    </xf>
    <xf numFmtId="2" fontId="48" fillId="0" borderId="0" xfId="24" applyNumberFormat="1" applyFont="1" applyAlignment="1">
      <alignment horizontal="center" vertical="center"/>
    </xf>
    <xf numFmtId="0" fontId="45" fillId="0" borderId="0" xfId="0" applyFont="1" applyAlignment="1">
      <alignment horizontal="left" wrapText="1"/>
    </xf>
    <xf numFmtId="0" fontId="32" fillId="0" borderId="0" xfId="0" applyFont="1" applyAlignment="1">
      <alignment horizontal="left" wrapText="1"/>
    </xf>
    <xf numFmtId="2" fontId="49" fillId="0" borderId="0" xfId="0" applyNumberFormat="1" applyFont="1" applyAlignment="1">
      <alignment horizontal="center"/>
    </xf>
    <xf numFmtId="0" fontId="33" fillId="0" borderId="0" xfId="0" applyFont="1"/>
    <xf numFmtId="0" fontId="45" fillId="0" borderId="0" xfId="0" applyFont="1" applyAlignment="1">
      <alignment horizontal="center" wrapText="1"/>
    </xf>
    <xf numFmtId="0" fontId="32" fillId="0" borderId="0" xfId="0" applyFont="1" applyAlignment="1">
      <alignment horizontal="center"/>
    </xf>
    <xf numFmtId="0" fontId="41" fillId="0" borderId="0" xfId="0" applyFont="1" applyAlignment="1">
      <alignment horizontal="left" wrapText="1"/>
    </xf>
    <xf numFmtId="2" fontId="41" fillId="0" borderId="0" xfId="0" applyNumberFormat="1" applyFont="1" applyAlignment="1">
      <alignment horizontal="center" vertical="center"/>
    </xf>
    <xf numFmtId="0" fontId="41" fillId="0" borderId="0" xfId="0" applyFont="1" applyAlignment="1">
      <alignment horizontal="left"/>
    </xf>
    <xf numFmtId="0" fontId="23" fillId="0" borderId="0" xfId="0" applyFont="1"/>
    <xf numFmtId="0" fontId="41" fillId="0" borderId="0" xfId="0" applyFont="1" applyAlignment="1">
      <alignment horizontal="center"/>
    </xf>
    <xf numFmtId="0" fontId="47" fillId="0" borderId="0" xfId="0" applyFont="1" applyAlignment="1">
      <alignment horizontal="center"/>
    </xf>
    <xf numFmtId="0" fontId="41" fillId="0" borderId="0" xfId="0" applyFont="1" applyAlignment="1">
      <alignment horizontal="center" wrapText="1"/>
    </xf>
    <xf numFmtId="0" fontId="0" fillId="0" borderId="0" xfId="0" applyAlignment="1">
      <alignment horizontal="center" wrapText="1"/>
    </xf>
    <xf numFmtId="0" fontId="32" fillId="0" borderId="0" xfId="0" applyFont="1" applyAlignment="1">
      <alignment horizontal="center" wrapText="1"/>
    </xf>
    <xf numFmtId="0" fontId="43" fillId="0" borderId="0" xfId="0" applyFont="1" applyAlignment="1">
      <alignment horizontal="center"/>
    </xf>
    <xf numFmtId="0" fontId="35" fillId="0" borderId="0" xfId="0" applyFont="1"/>
    <xf numFmtId="2" fontId="41" fillId="0" borderId="0" xfId="0" applyNumberFormat="1" applyFont="1" applyAlignment="1">
      <alignment horizontal="left" vertical="center"/>
    </xf>
    <xf numFmtId="0" fontId="32" fillId="0" borderId="26" xfId="0" applyFont="1" applyBorder="1" applyAlignment="1">
      <alignment horizontal="left"/>
    </xf>
    <xf numFmtId="0" fontId="33" fillId="0" borderId="17" xfId="0" applyFont="1" applyBorder="1" applyAlignment="1">
      <alignment horizontal="center"/>
    </xf>
    <xf numFmtId="0" fontId="33" fillId="0" borderId="18" xfId="0" applyFont="1" applyBorder="1" applyAlignment="1">
      <alignment horizontal="center"/>
    </xf>
    <xf numFmtId="0" fontId="33" fillId="0" borderId="11" xfId="0" applyFont="1" applyBorder="1" applyAlignment="1">
      <alignment horizontal="center"/>
    </xf>
    <xf numFmtId="0" fontId="32" fillId="0" borderId="17" xfId="0" applyFont="1" applyBorder="1" applyAlignment="1">
      <alignment horizontal="right" wrapText="1"/>
    </xf>
    <xf numFmtId="0" fontId="32" fillId="0" borderId="18" xfId="0" applyFont="1" applyBorder="1" applyAlignment="1">
      <alignment horizontal="right" wrapText="1"/>
    </xf>
    <xf numFmtId="0" fontId="35" fillId="0" borderId="17" xfId="0" applyFont="1" applyBorder="1" applyAlignment="1">
      <alignment horizontal="left"/>
    </xf>
    <xf numFmtId="0" fontId="35" fillId="0" borderId="18" xfId="0" applyFont="1" applyBorder="1" applyAlignment="1">
      <alignment horizontal="left"/>
    </xf>
    <xf numFmtId="0" fontId="32" fillId="0" borderId="11" xfId="0" applyFont="1" applyBorder="1"/>
    <xf numFmtId="0" fontId="34" fillId="0" borderId="0" xfId="0" applyFont="1" applyAlignment="1">
      <alignment horizontal="center"/>
    </xf>
    <xf numFmtId="0" fontId="40" fillId="0" borderId="0" xfId="0" applyFont="1" applyAlignment="1">
      <alignment horizontal="center" vertical="center" wrapText="1"/>
    </xf>
    <xf numFmtId="0" fontId="44" fillId="0" borderId="0" xfId="0" applyFont="1" applyAlignment="1">
      <alignment horizontal="center" wrapText="1"/>
    </xf>
    <xf numFmtId="0" fontId="32" fillId="0" borderId="0" xfId="0" applyFont="1" applyAlignment="1">
      <alignment horizontal="left"/>
    </xf>
    <xf numFmtId="0" fontId="32" fillId="0" borderId="17" xfId="0" applyFont="1" applyBorder="1" applyAlignment="1">
      <alignment horizontal="right"/>
    </xf>
    <xf numFmtId="0" fontId="32" fillId="0" borderId="18" xfId="0" applyFont="1" applyBorder="1" applyAlignment="1">
      <alignment horizontal="right"/>
    </xf>
    <xf numFmtId="0" fontId="25" fillId="17" borderId="0" xfId="0" applyFont="1" applyFill="1" applyAlignment="1">
      <alignment horizontal="center"/>
    </xf>
    <xf numFmtId="0" fontId="34" fillId="17" borderId="23" xfId="0" applyFont="1" applyFill="1" applyBorder="1" applyAlignment="1">
      <alignment horizontal="center"/>
    </xf>
    <xf numFmtId="0" fontId="35" fillId="0" borderId="17" xfId="0" applyFont="1" applyBorder="1" applyAlignment="1">
      <alignment horizontal="center"/>
    </xf>
    <xf numFmtId="0" fontId="35" fillId="0" borderId="11" xfId="0" applyFont="1" applyBorder="1" applyAlignment="1">
      <alignment horizontal="center"/>
    </xf>
    <xf numFmtId="0" fontId="35" fillId="0" borderId="18" xfId="0" applyFont="1" applyBorder="1" applyAlignment="1">
      <alignment horizont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7" xfId="0" applyFont="1" applyBorder="1" applyAlignment="1">
      <alignment horizontal="center"/>
    </xf>
    <xf numFmtId="0" fontId="32" fillId="0" borderId="18" xfId="0" applyFont="1" applyBorder="1" applyAlignment="1">
      <alignment horizontal="center"/>
    </xf>
    <xf numFmtId="0" fontId="32" fillId="0" borderId="11" xfId="0" applyFont="1" applyBorder="1" applyAlignment="1">
      <alignment horizontal="center"/>
    </xf>
    <xf numFmtId="0" fontId="32" fillId="0" borderId="17" xfId="0" applyFont="1" applyBorder="1" applyAlignment="1">
      <alignment horizontal="left" wrapText="1"/>
    </xf>
    <xf numFmtId="0" fontId="32" fillId="0" borderId="18" xfId="0" applyFont="1" applyBorder="1" applyAlignment="1">
      <alignment horizontal="left" wrapText="1"/>
    </xf>
    <xf numFmtId="0" fontId="32" fillId="0" borderId="11" xfId="0" applyFont="1" applyBorder="1" applyAlignment="1">
      <alignment horizontal="left" wrapText="1"/>
    </xf>
    <xf numFmtId="0" fontId="18" fillId="0" borderId="0" xfId="0" applyFont="1" applyAlignment="1">
      <alignment wrapText="1"/>
    </xf>
    <xf numFmtId="0" fontId="53" fillId="0" borderId="0" xfId="0" applyFont="1" applyAlignment="1">
      <alignment wrapText="1"/>
    </xf>
    <xf numFmtId="0" fontId="18" fillId="0" borderId="25" xfId="0" applyFont="1" applyBorder="1" applyAlignment="1">
      <alignment horizontal="center" wrapText="1"/>
    </xf>
    <xf numFmtId="0" fontId="53" fillId="0" borderId="0" xfId="0" applyFont="1" applyAlignment="1">
      <alignment horizontal="center" wrapText="1"/>
    </xf>
    <xf numFmtId="0" fontId="18" fillId="0" borderId="25" xfId="0" applyFont="1" applyBorder="1" applyAlignment="1">
      <alignment vertical="center" wrapText="1"/>
    </xf>
    <xf numFmtId="0" fontId="53"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xf>
    <xf numFmtId="0" fontId="18" fillId="0" borderId="0" xfId="0" applyFont="1" applyAlignment="1">
      <alignment horizontal="center" vertical="center"/>
    </xf>
    <xf numFmtId="0" fontId="18" fillId="0" borderId="0" xfId="0" applyFont="1" applyAlignment="1">
      <alignment horizontal="center"/>
    </xf>
    <xf numFmtId="0" fontId="28" fillId="0" borderId="0" xfId="0" applyFont="1" applyAlignment="1">
      <alignment horizontal="center"/>
    </xf>
    <xf numFmtId="0" fontId="28" fillId="0" borderId="0" xfId="0" applyFont="1"/>
    <xf numFmtId="0" fontId="19" fillId="0" borderId="0" xfId="0" applyFont="1" applyAlignment="1">
      <alignment horizontal="center"/>
    </xf>
    <xf numFmtId="0" fontId="18" fillId="0" borderId="0" xfId="0" applyFont="1" applyAlignment="1">
      <alignment horizontal="right"/>
    </xf>
    <xf numFmtId="0" fontId="25" fillId="0" borderId="0" xfId="0" applyFont="1" applyAlignment="1">
      <alignment horizontal="center"/>
    </xf>
    <xf numFmtId="0" fontId="0" fillId="0" borderId="0" xfId="0" applyAlignment="1">
      <alignment horizontal="left"/>
    </xf>
    <xf numFmtId="0" fontId="19" fillId="0" borderId="17" xfId="0" applyFont="1" applyBorder="1" applyAlignment="1">
      <alignment horizontal="center" wrapText="1"/>
    </xf>
    <xf numFmtId="0" fontId="19" fillId="0" borderId="18" xfId="0" applyFont="1" applyBorder="1" applyAlignment="1">
      <alignment horizontal="center" wrapText="1"/>
    </xf>
    <xf numFmtId="0" fontId="0" fillId="0" borderId="18" xfId="0" applyBorder="1" applyAlignment="1">
      <alignment horizontal="center" wrapText="1"/>
    </xf>
    <xf numFmtId="0" fontId="0" fillId="0" borderId="11" xfId="0" applyBorder="1" applyAlignment="1">
      <alignment horizontal="center" wrapText="1"/>
    </xf>
    <xf numFmtId="0" fontId="19" fillId="0" borderId="14" xfId="0" applyFont="1" applyBorder="1" applyAlignment="1">
      <alignment vertical="top"/>
    </xf>
    <xf numFmtId="0" fontId="20" fillId="0" borderId="12" xfId="0" applyFont="1" applyBorder="1" applyAlignment="1">
      <alignment vertical="top"/>
    </xf>
  </cellXfs>
  <cellStyles count="26">
    <cellStyle name="Ввід" xfId="7" builtinId="20" customBuiltin="1"/>
    <cellStyle name="Гарний" xfId="23" builtinId="26" customBuiltin="1"/>
    <cellStyle name="Заголовок 1" xfId="10" builtinId="16" customBuiltin="1"/>
    <cellStyle name="Заголовок 2" xfId="11" builtinId="17" customBuiltin="1"/>
    <cellStyle name="Заголовок 3" xfId="12" builtinId="18" customBuiltin="1"/>
    <cellStyle name="Заголовок 4" xfId="13" builtinId="19" customBuiltin="1"/>
    <cellStyle name="Звичайний" xfId="0" builtinId="0"/>
    <cellStyle name="Зв'язана клітинка" xfId="21" builtinId="24" customBuiltin="1"/>
    <cellStyle name="Колірна тема 1" xfId="1" builtinId="29" customBuiltin="1"/>
    <cellStyle name="Колірна тема 2" xfId="2" builtinId="33" customBuiltin="1"/>
    <cellStyle name="Колірна тема 3" xfId="3" builtinId="37" customBuiltin="1"/>
    <cellStyle name="Колірна тема 4" xfId="4" builtinId="41" customBuiltin="1"/>
    <cellStyle name="Колірна тема 5" xfId="5" builtinId="45" customBuiltin="1"/>
    <cellStyle name="Колірна тема 6" xfId="6" builtinId="49" customBuiltin="1"/>
    <cellStyle name="Контрольна клітинка" xfId="15" builtinId="23" customBuiltin="1"/>
    <cellStyle name="Назва" xfId="16" builtinId="15" customBuiltin="1"/>
    <cellStyle name="Нейтральний" xfId="17" builtinId="28" customBuiltin="1"/>
    <cellStyle name="Обчислення" xfId="9" builtinId="22" customBuiltin="1"/>
    <cellStyle name="Обычный 2" xfId="25" xr:uid="{00000000-0005-0000-0000-000012000000}"/>
    <cellStyle name="Обычный_Лист2" xfId="24" xr:uid="{00000000-0005-0000-0000-000013000000}"/>
    <cellStyle name="Підсумок" xfId="14" builtinId="25" customBuiltin="1"/>
    <cellStyle name="Поганий" xfId="18" builtinId="27" customBuiltin="1"/>
    <cellStyle name="Примітка" xfId="20" builtinId="10" customBuiltin="1"/>
    <cellStyle name="Результат" xfId="8" builtinId="21" customBuiltin="1"/>
    <cellStyle name="Текст попередження" xfId="22" builtinId="11" customBuiltin="1"/>
    <cellStyle name="Текст пояснення" xfId="19" builtinId="5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40"/>
  <sheetViews>
    <sheetView topLeftCell="A34" workbookViewId="0">
      <selection activeCell="L9" sqref="L9"/>
    </sheetView>
  </sheetViews>
  <sheetFormatPr defaultRowHeight="12.75" x14ac:dyDescent="0.2"/>
  <cols>
    <col min="1" max="1" width="8.42578125" customWidth="1"/>
    <col min="2" max="2" width="51" customWidth="1"/>
    <col min="3" max="3" width="13.85546875" customWidth="1"/>
    <col min="4" max="4" width="11.5703125" customWidth="1"/>
    <col min="5" max="5" width="13.5703125" customWidth="1"/>
    <col min="6" max="6" width="11.28515625" customWidth="1"/>
    <col min="7" max="7" width="13.42578125" customWidth="1"/>
    <col min="8" max="8" width="12.140625" customWidth="1"/>
    <col min="9" max="9" width="13.42578125" customWidth="1"/>
    <col min="10" max="10" width="11.28515625" customWidth="1"/>
    <col min="14" max="14" width="15.5703125" customWidth="1"/>
    <col min="16" max="16" width="13.7109375" customWidth="1"/>
  </cols>
  <sheetData>
    <row r="1" spans="1:14" ht="52.5" customHeight="1" x14ac:dyDescent="0.3">
      <c r="A1" s="141" t="s">
        <v>95</v>
      </c>
      <c r="B1" s="141"/>
      <c r="C1" s="141"/>
      <c r="D1" s="141"/>
      <c r="E1" s="141"/>
      <c r="F1" s="141"/>
      <c r="G1" s="141"/>
      <c r="H1" s="141"/>
      <c r="I1" s="141"/>
      <c r="J1" s="141"/>
    </row>
    <row r="2" spans="1:14" ht="17.25" customHeight="1" x14ac:dyDescent="0.2"/>
    <row r="3" spans="1:14" ht="30" customHeight="1" x14ac:dyDescent="0.2">
      <c r="A3" s="142" t="s">
        <v>1</v>
      </c>
      <c r="B3" s="142" t="s">
        <v>2</v>
      </c>
      <c r="C3" s="142" t="s">
        <v>90</v>
      </c>
      <c r="D3" s="142"/>
      <c r="E3" s="142" t="s">
        <v>91</v>
      </c>
      <c r="F3" s="142"/>
      <c r="G3" s="144" t="s">
        <v>94</v>
      </c>
      <c r="H3" s="144"/>
      <c r="I3" s="145" t="s">
        <v>89</v>
      </c>
      <c r="J3" s="146"/>
    </row>
    <row r="4" spans="1:14" ht="24.75" customHeight="1" x14ac:dyDescent="0.2">
      <c r="A4" s="143"/>
      <c r="B4" s="142"/>
      <c r="C4" s="97" t="s">
        <v>93</v>
      </c>
      <c r="D4" s="98" t="s">
        <v>85</v>
      </c>
      <c r="E4" s="97" t="s">
        <v>93</v>
      </c>
      <c r="F4" s="98" t="s">
        <v>85</v>
      </c>
      <c r="G4" s="97" t="s">
        <v>93</v>
      </c>
      <c r="H4" s="98" t="s">
        <v>85</v>
      </c>
      <c r="I4" s="97" t="s">
        <v>93</v>
      </c>
      <c r="J4" s="98" t="s">
        <v>85</v>
      </c>
    </row>
    <row r="5" spans="1:14" ht="15.75" customHeight="1" x14ac:dyDescent="0.2">
      <c r="A5" s="85"/>
      <c r="B5" s="85" t="s">
        <v>20</v>
      </c>
      <c r="C5" s="80">
        <f>C6+C19</f>
        <v>1497278.62</v>
      </c>
      <c r="D5" s="80">
        <f>D6+D19</f>
        <v>91.610292462065587</v>
      </c>
      <c r="E5" s="80">
        <f>E6+E19</f>
        <v>3285123.84</v>
      </c>
      <c r="F5" s="80">
        <f t="shared" ref="F5:H5" si="0">F6+F19</f>
        <v>200.99876651982379</v>
      </c>
      <c r="G5" s="80">
        <f t="shared" si="0"/>
        <v>0</v>
      </c>
      <c r="H5" s="80">
        <f t="shared" si="0"/>
        <v>0</v>
      </c>
      <c r="I5" s="81">
        <f>C5+E5+G5</f>
        <v>4782402.46</v>
      </c>
      <c r="J5" s="81">
        <f>D5+F5+H5</f>
        <v>292.60905898188935</v>
      </c>
    </row>
    <row r="6" spans="1:14" ht="15.75" x14ac:dyDescent="0.2">
      <c r="A6" s="84">
        <v>1</v>
      </c>
      <c r="B6" s="84" t="s">
        <v>21</v>
      </c>
      <c r="C6" s="81">
        <f t="shared" ref="C6:H6" si="1">SUM(C7+C13+C14)</f>
        <v>1340883.8900000001</v>
      </c>
      <c r="D6" s="81">
        <f t="shared" si="1"/>
        <v>82.04135401370533</v>
      </c>
      <c r="E6" s="81">
        <f t="shared" si="1"/>
        <v>3128729.11</v>
      </c>
      <c r="F6" s="81">
        <f t="shared" si="1"/>
        <v>191.42982807146353</v>
      </c>
      <c r="G6" s="81">
        <f t="shared" si="1"/>
        <v>0</v>
      </c>
      <c r="H6" s="81">
        <f t="shared" si="1"/>
        <v>0</v>
      </c>
      <c r="I6" s="81">
        <f t="shared" ref="I6:J23" si="2">C6+E6+G6</f>
        <v>4469613</v>
      </c>
      <c r="J6" s="81">
        <f t="shared" si="2"/>
        <v>273.47118208516883</v>
      </c>
    </row>
    <row r="7" spans="1:14" ht="15.75" x14ac:dyDescent="0.2">
      <c r="A7" s="86" t="s">
        <v>11</v>
      </c>
      <c r="B7" s="78" t="s">
        <v>3</v>
      </c>
      <c r="C7" s="82">
        <f t="shared" ref="C7:H7" si="3">SUM(C9+C8)</f>
        <v>613951.94000000006</v>
      </c>
      <c r="D7" s="82">
        <f t="shared" si="3"/>
        <v>37.56436245717083</v>
      </c>
      <c r="E7" s="82">
        <f t="shared" si="3"/>
        <v>1432554.54</v>
      </c>
      <c r="F7" s="82">
        <f t="shared" si="3"/>
        <v>87.650179882525691</v>
      </c>
      <c r="G7" s="82">
        <f t="shared" si="3"/>
        <v>0</v>
      </c>
      <c r="H7" s="82">
        <f t="shared" si="3"/>
        <v>0</v>
      </c>
      <c r="I7" s="82">
        <f t="shared" si="2"/>
        <v>2046506.48</v>
      </c>
      <c r="J7" s="82">
        <f t="shared" si="2"/>
        <v>125.21454233969652</v>
      </c>
    </row>
    <row r="8" spans="1:14" ht="15.75" x14ac:dyDescent="0.2">
      <c r="A8" s="86" t="s">
        <v>12</v>
      </c>
      <c r="B8" s="78" t="s">
        <v>4</v>
      </c>
      <c r="C8" s="83">
        <v>576344.16</v>
      </c>
      <c r="D8" s="82">
        <f>SUM(C8/16344)</f>
        <v>35.263348017621148</v>
      </c>
      <c r="E8" s="83">
        <v>1344803.04</v>
      </c>
      <c r="F8" s="82">
        <f>SUM(E8/16344)</f>
        <v>82.281145374449338</v>
      </c>
      <c r="G8" s="82">
        <v>0</v>
      </c>
      <c r="H8" s="82">
        <f>SUM(G8/11331)</f>
        <v>0</v>
      </c>
      <c r="I8" s="82">
        <f t="shared" si="2"/>
        <v>1921147.2000000002</v>
      </c>
      <c r="J8" s="82">
        <f t="shared" si="2"/>
        <v>117.54449339207048</v>
      </c>
      <c r="N8" s="25"/>
    </row>
    <row r="9" spans="1:14" ht="15.75" x14ac:dyDescent="0.2">
      <c r="A9" s="86" t="s">
        <v>13</v>
      </c>
      <c r="B9" s="78" t="s">
        <v>5</v>
      </c>
      <c r="C9" s="82">
        <f t="shared" ref="C9:H9" si="4">SUM(C10:C12)</f>
        <v>37607.78</v>
      </c>
      <c r="D9" s="82">
        <f t="shared" si="4"/>
        <v>2.3010144395496819</v>
      </c>
      <c r="E9" s="82">
        <f t="shared" si="4"/>
        <v>87751.5</v>
      </c>
      <c r="F9" s="82">
        <f t="shared" si="4"/>
        <v>5.3690345080763588</v>
      </c>
      <c r="G9" s="82">
        <f t="shared" si="4"/>
        <v>0</v>
      </c>
      <c r="H9" s="82">
        <f t="shared" si="4"/>
        <v>0</v>
      </c>
      <c r="I9" s="82">
        <f t="shared" si="2"/>
        <v>125359.28</v>
      </c>
      <c r="J9" s="82">
        <f t="shared" si="2"/>
        <v>7.6700489476260412</v>
      </c>
    </row>
    <row r="10" spans="1:14" ht="15.75" x14ac:dyDescent="0.2">
      <c r="A10" s="78" t="s">
        <v>22</v>
      </c>
      <c r="B10" s="78" t="s">
        <v>23</v>
      </c>
      <c r="C10" s="83">
        <v>11816.78</v>
      </c>
      <c r="D10" s="82">
        <f>SUM(C10/16344)</f>
        <v>0.72300416054821348</v>
      </c>
      <c r="E10" s="83">
        <v>27572.5</v>
      </c>
      <c r="F10" s="82">
        <f>SUM(E10/16344)</f>
        <v>1.6870105237395987</v>
      </c>
      <c r="G10" s="82">
        <v>0</v>
      </c>
      <c r="H10" s="82">
        <f t="shared" ref="H10:H18" si="5">SUM(G10/11331)</f>
        <v>0</v>
      </c>
      <c r="I10" s="82">
        <f t="shared" si="2"/>
        <v>39389.279999999999</v>
      </c>
      <c r="J10" s="82">
        <f t="shared" si="2"/>
        <v>2.4100146842878121</v>
      </c>
      <c r="N10" s="25"/>
    </row>
    <row r="11" spans="1:14" ht="15.75" x14ac:dyDescent="0.2">
      <c r="A11" s="78" t="s">
        <v>24</v>
      </c>
      <c r="B11" s="78" t="s">
        <v>25</v>
      </c>
      <c r="C11" s="83">
        <v>0</v>
      </c>
      <c r="D11" s="82">
        <f>SUM(C11/16344)</f>
        <v>0</v>
      </c>
      <c r="E11" s="83">
        <v>0</v>
      </c>
      <c r="F11" s="82">
        <f>SUM(E11/16344)</f>
        <v>0</v>
      </c>
      <c r="G11" s="82">
        <v>0</v>
      </c>
      <c r="H11" s="82">
        <f t="shared" si="5"/>
        <v>0</v>
      </c>
      <c r="I11" s="82">
        <f t="shared" si="2"/>
        <v>0</v>
      </c>
      <c r="J11" s="82">
        <f t="shared" si="2"/>
        <v>0</v>
      </c>
      <c r="N11" s="25"/>
    </row>
    <row r="12" spans="1:14" ht="15.75" x14ac:dyDescent="0.2">
      <c r="A12" s="78" t="s">
        <v>26</v>
      </c>
      <c r="B12" s="78" t="s">
        <v>29</v>
      </c>
      <c r="C12" s="83">
        <v>25791</v>
      </c>
      <c r="D12" s="82">
        <f>SUM(C12/16344)</f>
        <v>1.5780102790014685</v>
      </c>
      <c r="E12" s="83">
        <v>60179</v>
      </c>
      <c r="F12" s="82">
        <f>SUM(E12/16344)</f>
        <v>3.6820239843367597</v>
      </c>
      <c r="G12" s="82">
        <v>0</v>
      </c>
      <c r="H12" s="82">
        <f t="shared" si="5"/>
        <v>0</v>
      </c>
      <c r="I12" s="82">
        <f t="shared" si="2"/>
        <v>85970</v>
      </c>
      <c r="J12" s="82">
        <f t="shared" si="2"/>
        <v>5.2600342633382287</v>
      </c>
    </row>
    <row r="13" spans="1:14" ht="15.75" x14ac:dyDescent="0.2">
      <c r="A13" s="86" t="s">
        <v>14</v>
      </c>
      <c r="B13" s="78" t="s">
        <v>6</v>
      </c>
      <c r="C13" s="82">
        <v>556419.31999999995</v>
      </c>
      <c r="D13" s="82">
        <f>SUM(C13/16344)</f>
        <v>34.044255996084189</v>
      </c>
      <c r="E13" s="82">
        <v>1298311.76</v>
      </c>
      <c r="F13" s="82">
        <f>SUM(E13/16344)</f>
        <v>79.43659813999021</v>
      </c>
      <c r="G13" s="82">
        <v>0</v>
      </c>
      <c r="H13" s="82">
        <f t="shared" si="5"/>
        <v>0</v>
      </c>
      <c r="I13" s="82">
        <f t="shared" si="2"/>
        <v>1854731.08</v>
      </c>
      <c r="J13" s="82">
        <f t="shared" si="2"/>
        <v>113.4808541360744</v>
      </c>
    </row>
    <row r="14" spans="1:14" ht="15.75" x14ac:dyDescent="0.2">
      <c r="A14" s="86" t="s">
        <v>15</v>
      </c>
      <c r="B14" s="78" t="s">
        <v>7</v>
      </c>
      <c r="C14" s="82">
        <f t="shared" ref="C14:H14" si="6">SUM(C15:C17)</f>
        <v>170512.63</v>
      </c>
      <c r="D14" s="82">
        <f t="shared" si="6"/>
        <v>10.432735560450318</v>
      </c>
      <c r="E14" s="82">
        <f t="shared" si="6"/>
        <v>397862.81000000006</v>
      </c>
      <c r="F14" s="82">
        <f t="shared" si="6"/>
        <v>24.343050048947632</v>
      </c>
      <c r="G14" s="82">
        <f t="shared" si="6"/>
        <v>0</v>
      </c>
      <c r="H14" s="82">
        <f t="shared" si="6"/>
        <v>0</v>
      </c>
      <c r="I14" s="82">
        <f t="shared" si="2"/>
        <v>568375.44000000006</v>
      </c>
      <c r="J14" s="82">
        <v>34.770000000000003</v>
      </c>
    </row>
    <row r="15" spans="1:14" ht="33" customHeight="1" x14ac:dyDescent="0.2">
      <c r="A15" s="86" t="s">
        <v>16</v>
      </c>
      <c r="B15" s="134" t="s">
        <v>8</v>
      </c>
      <c r="C15" s="82">
        <v>122412.25</v>
      </c>
      <c r="D15" s="82">
        <f>SUM(C15/16344)</f>
        <v>7.4897362946647084</v>
      </c>
      <c r="E15" s="82">
        <v>285628.59000000003</v>
      </c>
      <c r="F15" s="82">
        <f>SUM(E15/16344)</f>
        <v>17.47605176211454</v>
      </c>
      <c r="G15" s="82">
        <v>0</v>
      </c>
      <c r="H15" s="82">
        <f t="shared" si="5"/>
        <v>0</v>
      </c>
      <c r="I15" s="82">
        <f t="shared" si="2"/>
        <v>408040.84</v>
      </c>
      <c r="J15" s="82">
        <f t="shared" si="2"/>
        <v>24.96578805677925</v>
      </c>
    </row>
    <row r="16" spans="1:14" ht="47.25" x14ac:dyDescent="0.2">
      <c r="A16" s="86" t="s">
        <v>17</v>
      </c>
      <c r="B16" s="134" t="s">
        <v>9</v>
      </c>
      <c r="C16" s="83">
        <v>39961.08</v>
      </c>
      <c r="D16" s="82">
        <f>SUM(C16/16344)</f>
        <v>2.4450000000000003</v>
      </c>
      <c r="E16" s="83">
        <v>93242.52</v>
      </c>
      <c r="F16" s="82">
        <f>SUM(E16/16344)</f>
        <v>5.7050000000000001</v>
      </c>
      <c r="G16" s="82">
        <v>0</v>
      </c>
      <c r="H16" s="82">
        <f t="shared" si="5"/>
        <v>0</v>
      </c>
      <c r="I16" s="82">
        <f t="shared" si="2"/>
        <v>133203.6</v>
      </c>
      <c r="J16" s="82">
        <f t="shared" si="2"/>
        <v>8.15</v>
      </c>
    </row>
    <row r="17" spans="1:10" ht="15.75" x14ac:dyDescent="0.2">
      <c r="A17" s="86" t="s">
        <v>18</v>
      </c>
      <c r="B17" s="134" t="s">
        <v>10</v>
      </c>
      <c r="C17" s="82">
        <f t="shared" ref="C17:H17" si="7">SUM(C18)</f>
        <v>8139.3</v>
      </c>
      <c r="D17" s="82">
        <f t="shared" si="7"/>
        <v>0.49799926578560944</v>
      </c>
      <c r="E17" s="82">
        <f t="shared" si="7"/>
        <v>18991.7</v>
      </c>
      <c r="F17" s="82">
        <f t="shared" si="7"/>
        <v>1.1619982868330887</v>
      </c>
      <c r="G17" s="82">
        <f t="shared" si="7"/>
        <v>0</v>
      </c>
      <c r="H17" s="82">
        <f t="shared" si="7"/>
        <v>0</v>
      </c>
      <c r="I17" s="82">
        <f t="shared" si="2"/>
        <v>27131</v>
      </c>
      <c r="J17" s="82">
        <f t="shared" si="2"/>
        <v>1.6599975526186981</v>
      </c>
    </row>
    <row r="18" spans="1:10" ht="15.75" x14ac:dyDescent="0.2">
      <c r="A18" s="86" t="s">
        <v>27</v>
      </c>
      <c r="B18" s="134" t="s">
        <v>28</v>
      </c>
      <c r="C18" s="83">
        <v>8139.3</v>
      </c>
      <c r="D18" s="82">
        <f>SUM(C18/16344)</f>
        <v>0.49799926578560944</v>
      </c>
      <c r="E18" s="83">
        <v>18991.7</v>
      </c>
      <c r="F18" s="82">
        <f>SUM(E18/16344)</f>
        <v>1.1619982868330887</v>
      </c>
      <c r="G18" s="82">
        <v>0</v>
      </c>
      <c r="H18" s="82">
        <f t="shared" si="5"/>
        <v>0</v>
      </c>
      <c r="I18" s="82">
        <f t="shared" si="2"/>
        <v>27131</v>
      </c>
      <c r="J18" s="82">
        <f t="shared" si="2"/>
        <v>1.6599975526186981</v>
      </c>
    </row>
    <row r="19" spans="1:10" ht="15.75" x14ac:dyDescent="0.2">
      <c r="A19" s="84">
        <v>2</v>
      </c>
      <c r="B19" s="79" t="s">
        <v>19</v>
      </c>
      <c r="C19" s="81">
        <v>156394.73000000001</v>
      </c>
      <c r="D19" s="81">
        <f>SUM(C19/16344)</f>
        <v>9.5689384483602549</v>
      </c>
      <c r="E19" s="81">
        <v>156394.73000000001</v>
      </c>
      <c r="F19" s="81">
        <f>SUM(E19/16344)</f>
        <v>9.5689384483602549</v>
      </c>
      <c r="G19" s="81">
        <v>0</v>
      </c>
      <c r="H19" s="81">
        <v>0</v>
      </c>
      <c r="I19" s="81">
        <f t="shared" si="2"/>
        <v>312789.46000000002</v>
      </c>
      <c r="J19" s="81">
        <f t="shared" si="2"/>
        <v>19.13787689672051</v>
      </c>
    </row>
    <row r="20" spans="1:10" ht="15.75" x14ac:dyDescent="0.2">
      <c r="A20" s="84">
        <v>3</v>
      </c>
      <c r="B20" s="79" t="s">
        <v>0</v>
      </c>
      <c r="C20" s="81">
        <v>0</v>
      </c>
      <c r="D20" s="81">
        <v>0</v>
      </c>
      <c r="E20" s="81">
        <v>0</v>
      </c>
      <c r="F20" s="81">
        <v>0</v>
      </c>
      <c r="G20" s="81">
        <v>0</v>
      </c>
      <c r="H20" s="81">
        <v>0</v>
      </c>
      <c r="I20" s="81">
        <f t="shared" si="2"/>
        <v>0</v>
      </c>
      <c r="J20" s="81">
        <f t="shared" si="2"/>
        <v>0</v>
      </c>
    </row>
    <row r="21" spans="1:10" ht="15.75" x14ac:dyDescent="0.2">
      <c r="A21" s="84">
        <v>4</v>
      </c>
      <c r="B21" s="79" t="s">
        <v>86</v>
      </c>
      <c r="C21" s="81">
        <f t="shared" ref="C21:H21" si="8">SUM(C6+C19+C20)</f>
        <v>1497278.62</v>
      </c>
      <c r="D21" s="81">
        <f t="shared" si="8"/>
        <v>91.610292462065587</v>
      </c>
      <c r="E21" s="81">
        <f t="shared" si="8"/>
        <v>3285123.84</v>
      </c>
      <c r="F21" s="81">
        <f t="shared" si="8"/>
        <v>200.99876651982379</v>
      </c>
      <c r="G21" s="81">
        <f t="shared" si="8"/>
        <v>0</v>
      </c>
      <c r="H21" s="81">
        <f t="shared" si="8"/>
        <v>0</v>
      </c>
      <c r="I21" s="81">
        <f t="shared" si="2"/>
        <v>4782402.46</v>
      </c>
      <c r="J21" s="81">
        <f t="shared" si="2"/>
        <v>292.60905898188935</v>
      </c>
    </row>
    <row r="22" spans="1:10" ht="15.75" x14ac:dyDescent="0.2">
      <c r="A22" s="84">
        <v>5</v>
      </c>
      <c r="B22" s="79" t="s">
        <v>87</v>
      </c>
      <c r="C22" s="81">
        <f>SUM(C23)</f>
        <v>74863.931000000011</v>
      </c>
      <c r="D22" s="81">
        <f>SUM(D23)</f>
        <v>4.5805146231032801</v>
      </c>
      <c r="E22" s="81">
        <f>SUM(E23)</f>
        <v>164256.19200000001</v>
      </c>
      <c r="F22" s="81">
        <f>SUM(F23)</f>
        <v>10.049938325991191</v>
      </c>
      <c r="G22" s="81">
        <f>SUM(G23)</f>
        <v>0</v>
      </c>
      <c r="H22" s="81">
        <v>0</v>
      </c>
      <c r="I22" s="81">
        <f t="shared" si="2"/>
        <v>239120.12300000002</v>
      </c>
      <c r="J22" s="81">
        <f t="shared" si="2"/>
        <v>14.630452949094471</v>
      </c>
    </row>
    <row r="23" spans="1:10" ht="15.75" x14ac:dyDescent="0.2">
      <c r="A23" s="86" t="s">
        <v>30</v>
      </c>
      <c r="B23" s="78" t="s">
        <v>88</v>
      </c>
      <c r="C23" s="82">
        <f>SUM(C21*5%)</f>
        <v>74863.931000000011</v>
      </c>
      <c r="D23" s="82">
        <f>SUM(C23/16344)</f>
        <v>4.5805146231032801</v>
      </c>
      <c r="E23" s="82">
        <f>SUM(E21*5%)</f>
        <v>164256.19200000001</v>
      </c>
      <c r="F23" s="82">
        <f>SUM(E23/16344)</f>
        <v>10.049938325991191</v>
      </c>
      <c r="G23" s="82">
        <v>0</v>
      </c>
      <c r="H23" s="82">
        <v>0</v>
      </c>
      <c r="I23" s="82">
        <f t="shared" si="2"/>
        <v>239120.12300000002</v>
      </c>
      <c r="J23" s="82">
        <f t="shared" si="2"/>
        <v>14.630452949094471</v>
      </c>
    </row>
    <row r="24" spans="1:10" ht="15.75" x14ac:dyDescent="0.2">
      <c r="A24" s="84">
        <v>6</v>
      </c>
      <c r="B24" s="79" t="s">
        <v>92</v>
      </c>
      <c r="C24" s="138">
        <v>16344</v>
      </c>
      <c r="D24" s="139"/>
      <c r="E24" s="139"/>
      <c r="F24" s="139"/>
      <c r="G24" s="139"/>
      <c r="H24" s="139"/>
      <c r="I24" s="139"/>
      <c r="J24" s="140"/>
    </row>
    <row r="25" spans="1:10" ht="31.5" x14ac:dyDescent="0.2">
      <c r="A25" s="84">
        <v>7</v>
      </c>
      <c r="B25" s="79" t="s">
        <v>96</v>
      </c>
      <c r="C25" s="81">
        <f>SUM(C21+C22)</f>
        <v>1572142.5510000002</v>
      </c>
      <c r="D25" s="81">
        <f>D21+D22</f>
        <v>96.190807085168871</v>
      </c>
      <c r="E25" s="81"/>
      <c r="F25" s="81"/>
      <c r="G25" s="82"/>
      <c r="H25" s="81"/>
      <c r="I25" s="82"/>
      <c r="J25" s="82"/>
    </row>
    <row r="26" spans="1:10" ht="15.75" x14ac:dyDescent="0.2">
      <c r="A26" s="84">
        <v>8</v>
      </c>
      <c r="B26" s="79" t="s">
        <v>104</v>
      </c>
      <c r="C26" s="81">
        <f>SUM(C25*20%)</f>
        <v>314428.51020000008</v>
      </c>
      <c r="D26" s="81">
        <f>SUM(D25*20%)</f>
        <v>19.238161417033776</v>
      </c>
      <c r="E26" s="81"/>
      <c r="F26" s="81"/>
      <c r="G26" s="82"/>
      <c r="H26" s="81"/>
      <c r="I26" s="82"/>
      <c r="J26" s="82"/>
    </row>
    <row r="27" spans="1:10" ht="31.5" x14ac:dyDescent="0.2">
      <c r="A27" s="84">
        <v>9</v>
      </c>
      <c r="B27" s="79" t="s">
        <v>102</v>
      </c>
      <c r="C27" s="81">
        <f>SUM(C25:C26)</f>
        <v>1886571.0612000003</v>
      </c>
      <c r="D27" s="81">
        <f>SUM(D25*20%+D25)</f>
        <v>115.42896850220265</v>
      </c>
      <c r="E27" s="81"/>
      <c r="F27" s="81"/>
      <c r="G27" s="82"/>
      <c r="H27" s="81"/>
      <c r="I27" s="82"/>
      <c r="J27" s="82"/>
    </row>
    <row r="28" spans="1:10" ht="31.5" x14ac:dyDescent="0.2">
      <c r="A28" s="84">
        <v>10</v>
      </c>
      <c r="B28" s="79" t="s">
        <v>103</v>
      </c>
      <c r="C28" s="82"/>
      <c r="D28" s="81"/>
      <c r="E28" s="81">
        <f>SUM(E21+E22)</f>
        <v>3449380.0319999997</v>
      </c>
      <c r="F28" s="81">
        <f>SUM(F21+F22)</f>
        <v>211.04870484581497</v>
      </c>
      <c r="G28" s="82"/>
      <c r="H28" s="81"/>
      <c r="I28" s="82"/>
      <c r="J28" s="82"/>
    </row>
    <row r="29" spans="1:10" ht="15.75" x14ac:dyDescent="0.2">
      <c r="A29" s="84">
        <v>11</v>
      </c>
      <c r="B29" s="79" t="s">
        <v>104</v>
      </c>
      <c r="C29" s="82"/>
      <c r="D29" s="81"/>
      <c r="E29" s="81">
        <f>SUM(E28*20%)</f>
        <v>689876.00639999995</v>
      </c>
      <c r="F29" s="81">
        <f>SUM(F28*20%)</f>
        <v>42.209740969162993</v>
      </c>
      <c r="G29" s="82"/>
      <c r="H29" s="81"/>
      <c r="I29" s="82"/>
      <c r="J29" s="82"/>
    </row>
    <row r="30" spans="1:10" ht="31.5" x14ac:dyDescent="0.2">
      <c r="A30" s="84">
        <v>12</v>
      </c>
      <c r="B30" s="79" t="s">
        <v>99</v>
      </c>
      <c r="C30" s="82"/>
      <c r="D30" s="81"/>
      <c r="E30" s="81">
        <f>SUM(E28+E29)</f>
        <v>4139256.0383999995</v>
      </c>
      <c r="F30" s="81">
        <f>SUM(F28*20%+F28)</f>
        <v>253.25844581497796</v>
      </c>
      <c r="G30" s="82"/>
      <c r="H30" s="81"/>
      <c r="I30" s="82"/>
      <c r="J30" s="82"/>
    </row>
    <row r="31" spans="1:10" ht="33" customHeight="1" x14ac:dyDescent="0.2">
      <c r="A31" s="84">
        <v>13</v>
      </c>
      <c r="B31" s="79" t="s">
        <v>100</v>
      </c>
      <c r="C31" s="82"/>
      <c r="D31" s="81"/>
      <c r="E31" s="82"/>
      <c r="F31" s="81"/>
      <c r="G31" s="81">
        <v>2455686</v>
      </c>
      <c r="H31" s="81">
        <v>150.25</v>
      </c>
      <c r="I31" s="81">
        <v>2455686</v>
      </c>
      <c r="J31" s="81">
        <v>150.25</v>
      </c>
    </row>
    <row r="32" spans="1:10" ht="23.25" customHeight="1" x14ac:dyDescent="0.2">
      <c r="A32" s="84">
        <v>14</v>
      </c>
      <c r="B32" s="79" t="s">
        <v>104</v>
      </c>
      <c r="C32" s="82"/>
      <c r="D32" s="81"/>
      <c r="E32" s="82"/>
      <c r="F32" s="81"/>
      <c r="G32" s="81">
        <v>324366.31</v>
      </c>
      <c r="H32" s="81">
        <f>SUM(H31*20%)</f>
        <v>30.05</v>
      </c>
      <c r="I32" s="82"/>
      <c r="J32" s="82"/>
    </row>
    <row r="33" spans="1:10" ht="32.25" customHeight="1" x14ac:dyDescent="0.2">
      <c r="A33" s="84">
        <v>15</v>
      </c>
      <c r="B33" s="79" t="s">
        <v>97</v>
      </c>
      <c r="C33" s="82"/>
      <c r="D33" s="81"/>
      <c r="E33" s="82"/>
      <c r="F33" s="81"/>
      <c r="G33" s="81">
        <f>SUM(G31*20%+G31)</f>
        <v>2946823.2</v>
      </c>
      <c r="H33" s="81">
        <f>SUM(H31*20%+H31)</f>
        <v>180.3</v>
      </c>
      <c r="I33" s="82"/>
      <c r="J33" s="82"/>
    </row>
    <row r="34" spans="1:10" ht="47.25" x14ac:dyDescent="0.2">
      <c r="A34" s="84">
        <v>16</v>
      </c>
      <c r="B34" s="79" t="s">
        <v>98</v>
      </c>
      <c r="C34" s="82"/>
      <c r="D34" s="82"/>
      <c r="E34" s="82"/>
      <c r="F34" s="82"/>
      <c r="G34" s="82"/>
      <c r="H34" s="82"/>
      <c r="I34" s="81">
        <f>SUM(I21+I22+G31)</f>
        <v>7477208.5829999996</v>
      </c>
      <c r="J34" s="81">
        <f>J21+J22+J31</f>
        <v>457.48951193098384</v>
      </c>
    </row>
    <row r="35" spans="1:10" ht="15.75" x14ac:dyDescent="0.2">
      <c r="A35" s="84">
        <v>17</v>
      </c>
      <c r="B35" s="79" t="s">
        <v>104</v>
      </c>
      <c r="C35" s="82"/>
      <c r="D35" s="82"/>
      <c r="E35" s="82"/>
      <c r="F35" s="82"/>
      <c r="G35" s="82"/>
      <c r="H35" s="82"/>
      <c r="I35" s="81">
        <f>I34*0.2</f>
        <v>1495441.7165999999</v>
      </c>
      <c r="J35" s="81">
        <f>SUM(J34*20%)</f>
        <v>91.49790238619677</v>
      </c>
    </row>
    <row r="36" spans="1:10" ht="51.75" customHeight="1" x14ac:dyDescent="0.2">
      <c r="A36" s="84">
        <v>18</v>
      </c>
      <c r="B36" s="79" t="s">
        <v>101</v>
      </c>
      <c r="C36" s="82"/>
      <c r="D36" s="82"/>
      <c r="E36" s="82"/>
      <c r="F36" s="82"/>
      <c r="G36" s="82"/>
      <c r="H36" s="82"/>
      <c r="I36" s="81">
        <f>I34+I35</f>
        <v>8972650.2995999996</v>
      </c>
      <c r="J36" s="81">
        <f>SUM(J34*20%+J34)</f>
        <v>548.98741431718065</v>
      </c>
    </row>
    <row r="37" spans="1:10" x14ac:dyDescent="0.2">
      <c r="C37" s="27"/>
      <c r="D37" s="27"/>
      <c r="E37" s="27"/>
      <c r="F37" s="27"/>
      <c r="G37" s="27"/>
      <c r="H37" s="27"/>
      <c r="I37" s="27"/>
      <c r="J37" s="27"/>
    </row>
    <row r="38" spans="1:10" ht="15.75" x14ac:dyDescent="0.2">
      <c r="B38" s="123" t="s">
        <v>247</v>
      </c>
      <c r="C38" s="27"/>
      <c r="D38" s="136" t="s">
        <v>248</v>
      </c>
      <c r="E38" s="136"/>
      <c r="F38" s="27"/>
      <c r="G38" s="27"/>
      <c r="H38" s="27"/>
      <c r="I38" s="27"/>
      <c r="J38" s="27"/>
    </row>
    <row r="40" spans="1:10" ht="15.75" x14ac:dyDescent="0.2">
      <c r="B40" s="123" t="s">
        <v>245</v>
      </c>
      <c r="D40" s="137" t="s">
        <v>246</v>
      </c>
      <c r="E40" s="137"/>
    </row>
  </sheetData>
  <mergeCells count="10">
    <mergeCell ref="D38:E38"/>
    <mergeCell ref="D40:E40"/>
    <mergeCell ref="C24:J24"/>
    <mergeCell ref="A1:J1"/>
    <mergeCell ref="A3:A4"/>
    <mergeCell ref="B3:B4"/>
    <mergeCell ref="C3:D3"/>
    <mergeCell ref="E3:F3"/>
    <mergeCell ref="G3:H3"/>
    <mergeCell ref="I3:J3"/>
  </mergeCells>
  <pageMargins left="0.70866141732283472" right="0.70866141732283472" top="0.35433070866141736"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N132"/>
  <sheetViews>
    <sheetView topLeftCell="A19" zoomScale="90" workbookViewId="0">
      <selection activeCell="T21" sqref="T21"/>
    </sheetView>
  </sheetViews>
  <sheetFormatPr defaultRowHeight="12.75" x14ac:dyDescent="0.2"/>
  <cols>
    <col min="1" max="1" width="11.5703125" customWidth="1"/>
    <col min="3" max="3" width="13" customWidth="1"/>
    <col min="5" max="5" width="13.5703125" customWidth="1"/>
    <col min="6" max="6" width="19.42578125" customWidth="1"/>
    <col min="7" max="7" width="6.5703125" customWidth="1"/>
    <col min="8" max="8" width="16.28515625" customWidth="1"/>
    <col min="9" max="9" width="12.140625" customWidth="1"/>
    <col min="10" max="10" width="8.7109375" customWidth="1"/>
    <col min="11" max="11" width="12.140625" customWidth="1"/>
    <col min="13" max="13" width="10.42578125" customWidth="1"/>
    <col min="14" max="14" width="13.5703125" customWidth="1"/>
    <col min="26" max="26" width="6.5703125" customWidth="1"/>
    <col min="27" max="27" width="11.140625" customWidth="1"/>
    <col min="28" max="28" width="12.7109375" customWidth="1"/>
    <col min="29" max="29" width="10.7109375" customWidth="1"/>
    <col min="34" max="34" width="6.5703125" customWidth="1"/>
    <col min="38" max="38" width="0.5703125" customWidth="1"/>
    <col min="39" max="39" width="15.28515625" customWidth="1"/>
    <col min="40" max="40" width="12.7109375" customWidth="1"/>
    <col min="41" max="41" width="12.85546875" customWidth="1"/>
    <col min="42" max="42" width="12.28515625" customWidth="1"/>
    <col min="43" max="43" width="11.7109375" customWidth="1"/>
    <col min="44" max="44" width="11.85546875" customWidth="1"/>
    <col min="51" max="51" width="5.42578125" customWidth="1"/>
    <col min="53" max="53" width="12.85546875" customWidth="1"/>
    <col min="54" max="54" width="12.7109375" customWidth="1"/>
    <col min="55" max="55" width="10.7109375" bestFit="1" customWidth="1"/>
    <col min="248" max="248" width="8.42578125" customWidth="1"/>
    <col min="249" max="249" width="15.42578125" customWidth="1"/>
    <col min="250" max="250" width="11.5703125" customWidth="1"/>
    <col min="252" max="252" width="25.7109375" customWidth="1"/>
    <col min="253" max="253" width="11.28515625" customWidth="1"/>
    <col min="254" max="254" width="12" customWidth="1"/>
    <col min="255" max="255" width="14.140625" customWidth="1"/>
    <col min="257" max="257" width="13" customWidth="1"/>
    <col min="259" max="259" width="13.5703125" customWidth="1"/>
    <col min="260" max="260" width="19.42578125" customWidth="1"/>
    <col min="261" max="261" width="6.5703125" customWidth="1"/>
    <col min="262" max="262" width="16.28515625" customWidth="1"/>
    <col min="263" max="263" width="12.140625" customWidth="1"/>
    <col min="264" max="264" width="8.7109375" customWidth="1"/>
    <col min="265" max="267" width="12.140625" customWidth="1"/>
    <col min="269" max="269" width="10.42578125" customWidth="1"/>
    <col min="270" max="270" width="13.5703125" customWidth="1"/>
    <col min="282" max="282" width="6.5703125" customWidth="1"/>
    <col min="283" max="283" width="11.140625" customWidth="1"/>
    <col min="284" max="284" width="12.7109375" customWidth="1"/>
    <col min="285" max="285" width="10.7109375" customWidth="1"/>
    <col min="290" max="290" width="6.5703125" customWidth="1"/>
    <col min="294" max="294" width="0.5703125" customWidth="1"/>
    <col min="295" max="295" width="15.28515625" customWidth="1"/>
    <col min="296" max="296" width="12.7109375" customWidth="1"/>
    <col min="297" max="297" width="12.85546875" customWidth="1"/>
    <col min="298" max="298" width="12.28515625" customWidth="1"/>
    <col min="299" max="299" width="11.7109375" customWidth="1"/>
    <col min="300" max="300" width="11.85546875" customWidth="1"/>
    <col min="307" max="307" width="5.42578125" customWidth="1"/>
    <col min="309" max="309" width="12.85546875" customWidth="1"/>
    <col min="310" max="310" width="12.7109375" customWidth="1"/>
    <col min="311" max="311" width="10.7109375" bestFit="1" customWidth="1"/>
    <col min="504" max="504" width="8.42578125" customWidth="1"/>
    <col min="505" max="505" width="15.42578125" customWidth="1"/>
    <col min="506" max="506" width="11.5703125" customWidth="1"/>
    <col min="508" max="508" width="25.7109375" customWidth="1"/>
    <col min="509" max="509" width="11.28515625" customWidth="1"/>
    <col min="510" max="510" width="12" customWidth="1"/>
    <col min="511" max="511" width="14.140625" customWidth="1"/>
    <col min="513" max="513" width="13" customWidth="1"/>
    <col min="515" max="515" width="13.5703125" customWidth="1"/>
    <col min="516" max="516" width="19.42578125" customWidth="1"/>
    <col min="517" max="517" width="6.5703125" customWidth="1"/>
    <col min="518" max="518" width="16.28515625" customWidth="1"/>
    <col min="519" max="519" width="12.140625" customWidth="1"/>
    <col min="520" max="520" width="8.7109375" customWidth="1"/>
    <col min="521" max="523" width="12.140625" customWidth="1"/>
    <col min="525" max="525" width="10.42578125" customWidth="1"/>
    <col min="526" max="526" width="13.5703125" customWidth="1"/>
    <col min="538" max="538" width="6.5703125" customWidth="1"/>
    <col min="539" max="539" width="11.140625" customWidth="1"/>
    <col min="540" max="540" width="12.7109375" customWidth="1"/>
    <col min="541" max="541" width="10.7109375" customWidth="1"/>
    <col min="546" max="546" width="6.5703125" customWidth="1"/>
    <col min="550" max="550" width="0.5703125" customWidth="1"/>
    <col min="551" max="551" width="15.28515625" customWidth="1"/>
    <col min="552" max="552" width="12.7109375" customWidth="1"/>
    <col min="553" max="553" width="12.85546875" customWidth="1"/>
    <col min="554" max="554" width="12.28515625" customWidth="1"/>
    <col min="555" max="555" width="11.7109375" customWidth="1"/>
    <col min="556" max="556" width="11.85546875" customWidth="1"/>
    <col min="563" max="563" width="5.42578125" customWidth="1"/>
    <col min="565" max="565" width="12.85546875" customWidth="1"/>
    <col min="566" max="566" width="12.7109375" customWidth="1"/>
    <col min="567" max="567" width="10.7109375" bestFit="1" customWidth="1"/>
    <col min="760" max="760" width="8.42578125" customWidth="1"/>
    <col min="761" max="761" width="15.42578125" customWidth="1"/>
    <col min="762" max="762" width="11.5703125" customWidth="1"/>
    <col min="764" max="764" width="25.7109375" customWidth="1"/>
    <col min="765" max="765" width="11.28515625" customWidth="1"/>
    <col min="766" max="766" width="12" customWidth="1"/>
    <col min="767" max="767" width="14.140625" customWidth="1"/>
    <col min="769" max="769" width="13" customWidth="1"/>
    <col min="771" max="771" width="13.5703125" customWidth="1"/>
    <col min="772" max="772" width="19.42578125" customWidth="1"/>
    <col min="773" max="773" width="6.5703125" customWidth="1"/>
    <col min="774" max="774" width="16.28515625" customWidth="1"/>
    <col min="775" max="775" width="12.140625" customWidth="1"/>
    <col min="776" max="776" width="8.7109375" customWidth="1"/>
    <col min="777" max="779" width="12.140625" customWidth="1"/>
    <col min="781" max="781" width="10.42578125" customWidth="1"/>
    <col min="782" max="782" width="13.5703125" customWidth="1"/>
    <col min="794" max="794" width="6.5703125" customWidth="1"/>
    <col min="795" max="795" width="11.140625" customWidth="1"/>
    <col min="796" max="796" width="12.7109375" customWidth="1"/>
    <col min="797" max="797" width="10.7109375" customWidth="1"/>
    <col min="802" max="802" width="6.5703125" customWidth="1"/>
    <col min="806" max="806" width="0.5703125" customWidth="1"/>
    <col min="807" max="807" width="15.28515625" customWidth="1"/>
    <col min="808" max="808" width="12.7109375" customWidth="1"/>
    <col min="809" max="809" width="12.85546875" customWidth="1"/>
    <col min="810" max="810" width="12.28515625" customWidth="1"/>
    <col min="811" max="811" width="11.7109375" customWidth="1"/>
    <col min="812" max="812" width="11.85546875" customWidth="1"/>
    <col min="819" max="819" width="5.42578125" customWidth="1"/>
    <col min="821" max="821" width="12.85546875" customWidth="1"/>
    <col min="822" max="822" width="12.7109375" customWidth="1"/>
    <col min="823" max="823" width="10.7109375" bestFit="1" customWidth="1"/>
    <col min="1016" max="1016" width="8.42578125" customWidth="1"/>
    <col min="1017" max="1017" width="15.42578125" customWidth="1"/>
    <col min="1018" max="1018" width="11.5703125" customWidth="1"/>
    <col min="1020" max="1020" width="25.7109375" customWidth="1"/>
    <col min="1021" max="1021" width="11.28515625" customWidth="1"/>
    <col min="1022" max="1022" width="12" customWidth="1"/>
    <col min="1023" max="1023" width="14.140625" customWidth="1"/>
    <col min="1025" max="1025" width="13" customWidth="1"/>
    <col min="1027" max="1027" width="13.5703125" customWidth="1"/>
    <col min="1028" max="1028" width="19.42578125" customWidth="1"/>
    <col min="1029" max="1029" width="6.5703125" customWidth="1"/>
    <col min="1030" max="1030" width="16.28515625" customWidth="1"/>
    <col min="1031" max="1031" width="12.140625" customWidth="1"/>
    <col min="1032" max="1032" width="8.7109375" customWidth="1"/>
    <col min="1033" max="1035" width="12.140625" customWidth="1"/>
    <col min="1037" max="1037" width="10.42578125" customWidth="1"/>
    <col min="1038" max="1038" width="13.5703125" customWidth="1"/>
    <col min="1050" max="1050" width="6.5703125" customWidth="1"/>
    <col min="1051" max="1051" width="11.140625" customWidth="1"/>
    <col min="1052" max="1052" width="12.7109375" customWidth="1"/>
    <col min="1053" max="1053" width="10.7109375" customWidth="1"/>
    <col min="1058" max="1058" width="6.5703125" customWidth="1"/>
    <col min="1062" max="1062" width="0.5703125" customWidth="1"/>
    <col min="1063" max="1063" width="15.28515625" customWidth="1"/>
    <col min="1064" max="1064" width="12.7109375" customWidth="1"/>
    <col min="1065" max="1065" width="12.85546875" customWidth="1"/>
    <col min="1066" max="1066" width="12.28515625" customWidth="1"/>
    <col min="1067" max="1067" width="11.7109375" customWidth="1"/>
    <col min="1068" max="1068" width="11.85546875" customWidth="1"/>
    <col min="1075" max="1075" width="5.42578125" customWidth="1"/>
    <col min="1077" max="1077" width="12.85546875" customWidth="1"/>
    <col min="1078" max="1078" width="12.7109375" customWidth="1"/>
    <col min="1079" max="1079" width="10.7109375" bestFit="1" customWidth="1"/>
    <col min="1272" max="1272" width="8.42578125" customWidth="1"/>
    <col min="1273" max="1273" width="15.42578125" customWidth="1"/>
    <col min="1274" max="1274" width="11.5703125" customWidth="1"/>
    <col min="1276" max="1276" width="25.7109375" customWidth="1"/>
    <col min="1277" max="1277" width="11.28515625" customWidth="1"/>
    <col min="1278" max="1278" width="12" customWidth="1"/>
    <col min="1279" max="1279" width="14.140625" customWidth="1"/>
    <col min="1281" max="1281" width="13" customWidth="1"/>
    <col min="1283" max="1283" width="13.5703125" customWidth="1"/>
    <col min="1284" max="1284" width="19.42578125" customWidth="1"/>
    <col min="1285" max="1285" width="6.5703125" customWidth="1"/>
    <col min="1286" max="1286" width="16.28515625" customWidth="1"/>
    <col min="1287" max="1287" width="12.140625" customWidth="1"/>
    <col min="1288" max="1288" width="8.7109375" customWidth="1"/>
    <col min="1289" max="1291" width="12.140625" customWidth="1"/>
    <col min="1293" max="1293" width="10.42578125" customWidth="1"/>
    <col min="1294" max="1294" width="13.5703125" customWidth="1"/>
    <col min="1306" max="1306" width="6.5703125" customWidth="1"/>
    <col min="1307" max="1307" width="11.140625" customWidth="1"/>
    <col min="1308" max="1308" width="12.7109375" customWidth="1"/>
    <col min="1309" max="1309" width="10.7109375" customWidth="1"/>
    <col min="1314" max="1314" width="6.5703125" customWidth="1"/>
    <col min="1318" max="1318" width="0.5703125" customWidth="1"/>
    <col min="1319" max="1319" width="15.28515625" customWidth="1"/>
    <col min="1320" max="1320" width="12.7109375" customWidth="1"/>
    <col min="1321" max="1321" width="12.85546875" customWidth="1"/>
    <col min="1322" max="1322" width="12.28515625" customWidth="1"/>
    <col min="1323" max="1323" width="11.7109375" customWidth="1"/>
    <col min="1324" max="1324" width="11.85546875" customWidth="1"/>
    <col min="1331" max="1331" width="5.42578125" customWidth="1"/>
    <col min="1333" max="1333" width="12.85546875" customWidth="1"/>
    <col min="1334" max="1334" width="12.7109375" customWidth="1"/>
    <col min="1335" max="1335" width="10.7109375" bestFit="1" customWidth="1"/>
    <col min="1528" max="1528" width="8.42578125" customWidth="1"/>
    <col min="1529" max="1529" width="15.42578125" customWidth="1"/>
    <col min="1530" max="1530" width="11.5703125" customWidth="1"/>
    <col min="1532" max="1532" width="25.7109375" customWidth="1"/>
    <col min="1533" max="1533" width="11.28515625" customWidth="1"/>
    <col min="1534" max="1534" width="12" customWidth="1"/>
    <col min="1535" max="1535" width="14.140625" customWidth="1"/>
    <col min="1537" max="1537" width="13" customWidth="1"/>
    <col min="1539" max="1539" width="13.5703125" customWidth="1"/>
    <col min="1540" max="1540" width="19.42578125" customWidth="1"/>
    <col min="1541" max="1541" width="6.5703125" customWidth="1"/>
    <col min="1542" max="1542" width="16.28515625" customWidth="1"/>
    <col min="1543" max="1543" width="12.140625" customWidth="1"/>
    <col min="1544" max="1544" width="8.7109375" customWidth="1"/>
    <col min="1545" max="1547" width="12.140625" customWidth="1"/>
    <col min="1549" max="1549" width="10.42578125" customWidth="1"/>
    <col min="1550" max="1550" width="13.5703125" customWidth="1"/>
    <col min="1562" max="1562" width="6.5703125" customWidth="1"/>
    <col min="1563" max="1563" width="11.140625" customWidth="1"/>
    <col min="1564" max="1564" width="12.7109375" customWidth="1"/>
    <col min="1565" max="1565" width="10.7109375" customWidth="1"/>
    <col min="1570" max="1570" width="6.5703125" customWidth="1"/>
    <col min="1574" max="1574" width="0.5703125" customWidth="1"/>
    <col min="1575" max="1575" width="15.28515625" customWidth="1"/>
    <col min="1576" max="1576" width="12.7109375" customWidth="1"/>
    <col min="1577" max="1577" width="12.85546875" customWidth="1"/>
    <col min="1578" max="1578" width="12.28515625" customWidth="1"/>
    <col min="1579" max="1579" width="11.7109375" customWidth="1"/>
    <col min="1580" max="1580" width="11.85546875" customWidth="1"/>
    <col min="1587" max="1587" width="5.42578125" customWidth="1"/>
    <col min="1589" max="1589" width="12.85546875" customWidth="1"/>
    <col min="1590" max="1590" width="12.7109375" customWidth="1"/>
    <col min="1591" max="1591" width="10.7109375" bestFit="1" customWidth="1"/>
    <col min="1784" max="1784" width="8.42578125" customWidth="1"/>
    <col min="1785" max="1785" width="15.42578125" customWidth="1"/>
    <col min="1786" max="1786" width="11.5703125" customWidth="1"/>
    <col min="1788" max="1788" width="25.7109375" customWidth="1"/>
    <col min="1789" max="1789" width="11.28515625" customWidth="1"/>
    <col min="1790" max="1790" width="12" customWidth="1"/>
    <col min="1791" max="1791" width="14.140625" customWidth="1"/>
    <col min="1793" max="1793" width="13" customWidth="1"/>
    <col min="1795" max="1795" width="13.5703125" customWidth="1"/>
    <col min="1796" max="1796" width="19.42578125" customWidth="1"/>
    <col min="1797" max="1797" width="6.5703125" customWidth="1"/>
    <col min="1798" max="1798" width="16.28515625" customWidth="1"/>
    <col min="1799" max="1799" width="12.140625" customWidth="1"/>
    <col min="1800" max="1800" width="8.7109375" customWidth="1"/>
    <col min="1801" max="1803" width="12.140625" customWidth="1"/>
    <col min="1805" max="1805" width="10.42578125" customWidth="1"/>
    <col min="1806" max="1806" width="13.5703125" customWidth="1"/>
    <col min="1818" max="1818" width="6.5703125" customWidth="1"/>
    <col min="1819" max="1819" width="11.140625" customWidth="1"/>
    <col min="1820" max="1820" width="12.7109375" customWidth="1"/>
    <col min="1821" max="1821" width="10.7109375" customWidth="1"/>
    <col min="1826" max="1826" width="6.5703125" customWidth="1"/>
    <col min="1830" max="1830" width="0.5703125" customWidth="1"/>
    <col min="1831" max="1831" width="15.28515625" customWidth="1"/>
    <col min="1832" max="1832" width="12.7109375" customWidth="1"/>
    <col min="1833" max="1833" width="12.85546875" customWidth="1"/>
    <col min="1834" max="1834" width="12.28515625" customWidth="1"/>
    <col min="1835" max="1835" width="11.7109375" customWidth="1"/>
    <col min="1836" max="1836" width="11.85546875" customWidth="1"/>
    <col min="1843" max="1843" width="5.42578125" customWidth="1"/>
    <col min="1845" max="1845" width="12.85546875" customWidth="1"/>
    <col min="1846" max="1846" width="12.7109375" customWidth="1"/>
    <col min="1847" max="1847" width="10.7109375" bestFit="1" customWidth="1"/>
    <col min="2040" max="2040" width="8.42578125" customWidth="1"/>
    <col min="2041" max="2041" width="15.42578125" customWidth="1"/>
    <col min="2042" max="2042" width="11.5703125" customWidth="1"/>
    <col min="2044" max="2044" width="25.7109375" customWidth="1"/>
    <col min="2045" max="2045" width="11.28515625" customWidth="1"/>
    <col min="2046" max="2046" width="12" customWidth="1"/>
    <col min="2047" max="2047" width="14.140625" customWidth="1"/>
    <col min="2049" max="2049" width="13" customWidth="1"/>
    <col min="2051" max="2051" width="13.5703125" customWidth="1"/>
    <col min="2052" max="2052" width="19.42578125" customWidth="1"/>
    <col min="2053" max="2053" width="6.5703125" customWidth="1"/>
    <col min="2054" max="2054" width="16.28515625" customWidth="1"/>
    <col min="2055" max="2055" width="12.140625" customWidth="1"/>
    <col min="2056" max="2056" width="8.7109375" customWidth="1"/>
    <col min="2057" max="2059" width="12.140625" customWidth="1"/>
    <col min="2061" max="2061" width="10.42578125" customWidth="1"/>
    <col min="2062" max="2062" width="13.5703125" customWidth="1"/>
    <col min="2074" max="2074" width="6.5703125" customWidth="1"/>
    <col min="2075" max="2075" width="11.140625" customWidth="1"/>
    <col min="2076" max="2076" width="12.7109375" customWidth="1"/>
    <col min="2077" max="2077" width="10.7109375" customWidth="1"/>
    <col min="2082" max="2082" width="6.5703125" customWidth="1"/>
    <col min="2086" max="2086" width="0.5703125" customWidth="1"/>
    <col min="2087" max="2087" width="15.28515625" customWidth="1"/>
    <col min="2088" max="2088" width="12.7109375" customWidth="1"/>
    <col min="2089" max="2089" width="12.85546875" customWidth="1"/>
    <col min="2090" max="2090" width="12.28515625" customWidth="1"/>
    <col min="2091" max="2091" width="11.7109375" customWidth="1"/>
    <col min="2092" max="2092" width="11.85546875" customWidth="1"/>
    <col min="2099" max="2099" width="5.42578125" customWidth="1"/>
    <col min="2101" max="2101" width="12.85546875" customWidth="1"/>
    <col min="2102" max="2102" width="12.7109375" customWidth="1"/>
    <col min="2103" max="2103" width="10.7109375" bestFit="1" customWidth="1"/>
    <col min="2296" max="2296" width="8.42578125" customWidth="1"/>
    <col min="2297" max="2297" width="15.42578125" customWidth="1"/>
    <col min="2298" max="2298" width="11.5703125" customWidth="1"/>
    <col min="2300" max="2300" width="25.7109375" customWidth="1"/>
    <col min="2301" max="2301" width="11.28515625" customWidth="1"/>
    <col min="2302" max="2302" width="12" customWidth="1"/>
    <col min="2303" max="2303" width="14.140625" customWidth="1"/>
    <col min="2305" max="2305" width="13" customWidth="1"/>
    <col min="2307" max="2307" width="13.5703125" customWidth="1"/>
    <col min="2308" max="2308" width="19.42578125" customWidth="1"/>
    <col min="2309" max="2309" width="6.5703125" customWidth="1"/>
    <col min="2310" max="2310" width="16.28515625" customWidth="1"/>
    <col min="2311" max="2311" width="12.140625" customWidth="1"/>
    <col min="2312" max="2312" width="8.7109375" customWidth="1"/>
    <col min="2313" max="2315" width="12.140625" customWidth="1"/>
    <col min="2317" max="2317" width="10.42578125" customWidth="1"/>
    <col min="2318" max="2318" width="13.5703125" customWidth="1"/>
    <col min="2330" max="2330" width="6.5703125" customWidth="1"/>
    <col min="2331" max="2331" width="11.140625" customWidth="1"/>
    <col min="2332" max="2332" width="12.7109375" customWidth="1"/>
    <col min="2333" max="2333" width="10.7109375" customWidth="1"/>
    <col min="2338" max="2338" width="6.5703125" customWidth="1"/>
    <col min="2342" max="2342" width="0.5703125" customWidth="1"/>
    <col min="2343" max="2343" width="15.28515625" customWidth="1"/>
    <col min="2344" max="2344" width="12.7109375" customWidth="1"/>
    <col min="2345" max="2345" width="12.85546875" customWidth="1"/>
    <col min="2346" max="2346" width="12.28515625" customWidth="1"/>
    <col min="2347" max="2347" width="11.7109375" customWidth="1"/>
    <col min="2348" max="2348" width="11.85546875" customWidth="1"/>
    <col min="2355" max="2355" width="5.42578125" customWidth="1"/>
    <col min="2357" max="2357" width="12.85546875" customWidth="1"/>
    <col min="2358" max="2358" width="12.7109375" customWidth="1"/>
    <col min="2359" max="2359" width="10.7109375" bestFit="1" customWidth="1"/>
    <col min="2552" max="2552" width="8.42578125" customWidth="1"/>
    <col min="2553" max="2553" width="15.42578125" customWidth="1"/>
    <col min="2554" max="2554" width="11.5703125" customWidth="1"/>
    <col min="2556" max="2556" width="25.7109375" customWidth="1"/>
    <col min="2557" max="2557" width="11.28515625" customWidth="1"/>
    <col min="2558" max="2558" width="12" customWidth="1"/>
    <col min="2559" max="2559" width="14.140625" customWidth="1"/>
    <col min="2561" max="2561" width="13" customWidth="1"/>
    <col min="2563" max="2563" width="13.5703125" customWidth="1"/>
    <col min="2564" max="2564" width="19.42578125" customWidth="1"/>
    <col min="2565" max="2565" width="6.5703125" customWidth="1"/>
    <col min="2566" max="2566" width="16.28515625" customWidth="1"/>
    <col min="2567" max="2567" width="12.140625" customWidth="1"/>
    <col min="2568" max="2568" width="8.7109375" customWidth="1"/>
    <col min="2569" max="2571" width="12.140625" customWidth="1"/>
    <col min="2573" max="2573" width="10.42578125" customWidth="1"/>
    <col min="2574" max="2574" width="13.5703125" customWidth="1"/>
    <col min="2586" max="2586" width="6.5703125" customWidth="1"/>
    <col min="2587" max="2587" width="11.140625" customWidth="1"/>
    <col min="2588" max="2588" width="12.7109375" customWidth="1"/>
    <col min="2589" max="2589" width="10.7109375" customWidth="1"/>
    <col min="2594" max="2594" width="6.5703125" customWidth="1"/>
    <col min="2598" max="2598" width="0.5703125" customWidth="1"/>
    <col min="2599" max="2599" width="15.28515625" customWidth="1"/>
    <col min="2600" max="2600" width="12.7109375" customWidth="1"/>
    <col min="2601" max="2601" width="12.85546875" customWidth="1"/>
    <col min="2602" max="2602" width="12.28515625" customWidth="1"/>
    <col min="2603" max="2603" width="11.7109375" customWidth="1"/>
    <col min="2604" max="2604" width="11.85546875" customWidth="1"/>
    <col min="2611" max="2611" width="5.42578125" customWidth="1"/>
    <col min="2613" max="2613" width="12.85546875" customWidth="1"/>
    <col min="2614" max="2614" width="12.7109375" customWidth="1"/>
    <col min="2615" max="2615" width="10.7109375" bestFit="1" customWidth="1"/>
    <col min="2808" max="2808" width="8.42578125" customWidth="1"/>
    <col min="2809" max="2809" width="15.42578125" customWidth="1"/>
    <col min="2810" max="2810" width="11.5703125" customWidth="1"/>
    <col min="2812" max="2812" width="25.7109375" customWidth="1"/>
    <col min="2813" max="2813" width="11.28515625" customWidth="1"/>
    <col min="2814" max="2814" width="12" customWidth="1"/>
    <col min="2815" max="2815" width="14.140625" customWidth="1"/>
    <col min="2817" max="2817" width="13" customWidth="1"/>
    <col min="2819" max="2819" width="13.5703125" customWidth="1"/>
    <col min="2820" max="2820" width="19.42578125" customWidth="1"/>
    <col min="2821" max="2821" width="6.5703125" customWidth="1"/>
    <col min="2822" max="2822" width="16.28515625" customWidth="1"/>
    <col min="2823" max="2823" width="12.140625" customWidth="1"/>
    <col min="2824" max="2824" width="8.7109375" customWidth="1"/>
    <col min="2825" max="2827" width="12.140625" customWidth="1"/>
    <col min="2829" max="2829" width="10.42578125" customWidth="1"/>
    <col min="2830" max="2830" width="13.5703125" customWidth="1"/>
    <col min="2842" max="2842" width="6.5703125" customWidth="1"/>
    <col min="2843" max="2843" width="11.140625" customWidth="1"/>
    <col min="2844" max="2844" width="12.7109375" customWidth="1"/>
    <col min="2845" max="2845" width="10.7109375" customWidth="1"/>
    <col min="2850" max="2850" width="6.5703125" customWidth="1"/>
    <col min="2854" max="2854" width="0.5703125" customWidth="1"/>
    <col min="2855" max="2855" width="15.28515625" customWidth="1"/>
    <col min="2856" max="2856" width="12.7109375" customWidth="1"/>
    <col min="2857" max="2857" width="12.85546875" customWidth="1"/>
    <col min="2858" max="2858" width="12.28515625" customWidth="1"/>
    <col min="2859" max="2859" width="11.7109375" customWidth="1"/>
    <col min="2860" max="2860" width="11.85546875" customWidth="1"/>
    <col min="2867" max="2867" width="5.42578125" customWidth="1"/>
    <col min="2869" max="2869" width="12.85546875" customWidth="1"/>
    <col min="2870" max="2870" width="12.7109375" customWidth="1"/>
    <col min="2871" max="2871" width="10.7109375" bestFit="1" customWidth="1"/>
    <col min="3064" max="3064" width="8.42578125" customWidth="1"/>
    <col min="3065" max="3065" width="15.42578125" customWidth="1"/>
    <col min="3066" max="3066" width="11.5703125" customWidth="1"/>
    <col min="3068" max="3068" width="25.7109375" customWidth="1"/>
    <col min="3069" max="3069" width="11.28515625" customWidth="1"/>
    <col min="3070" max="3070" width="12" customWidth="1"/>
    <col min="3071" max="3071" width="14.140625" customWidth="1"/>
    <col min="3073" max="3073" width="13" customWidth="1"/>
    <col min="3075" max="3075" width="13.5703125" customWidth="1"/>
    <col min="3076" max="3076" width="19.42578125" customWidth="1"/>
    <col min="3077" max="3077" width="6.5703125" customWidth="1"/>
    <col min="3078" max="3078" width="16.28515625" customWidth="1"/>
    <col min="3079" max="3079" width="12.140625" customWidth="1"/>
    <col min="3080" max="3080" width="8.7109375" customWidth="1"/>
    <col min="3081" max="3083" width="12.140625" customWidth="1"/>
    <col min="3085" max="3085" width="10.42578125" customWidth="1"/>
    <col min="3086" max="3086" width="13.5703125" customWidth="1"/>
    <col min="3098" max="3098" width="6.5703125" customWidth="1"/>
    <col min="3099" max="3099" width="11.140625" customWidth="1"/>
    <col min="3100" max="3100" width="12.7109375" customWidth="1"/>
    <col min="3101" max="3101" width="10.7109375" customWidth="1"/>
    <col min="3106" max="3106" width="6.5703125" customWidth="1"/>
    <col min="3110" max="3110" width="0.5703125" customWidth="1"/>
    <col min="3111" max="3111" width="15.28515625" customWidth="1"/>
    <col min="3112" max="3112" width="12.7109375" customWidth="1"/>
    <col min="3113" max="3113" width="12.85546875" customWidth="1"/>
    <col min="3114" max="3114" width="12.28515625" customWidth="1"/>
    <col min="3115" max="3115" width="11.7109375" customWidth="1"/>
    <col min="3116" max="3116" width="11.85546875" customWidth="1"/>
    <col min="3123" max="3123" width="5.42578125" customWidth="1"/>
    <col min="3125" max="3125" width="12.85546875" customWidth="1"/>
    <col min="3126" max="3126" width="12.7109375" customWidth="1"/>
    <col min="3127" max="3127" width="10.7109375" bestFit="1" customWidth="1"/>
    <col min="3320" max="3320" width="8.42578125" customWidth="1"/>
    <col min="3321" max="3321" width="15.42578125" customWidth="1"/>
    <col min="3322" max="3322" width="11.5703125" customWidth="1"/>
    <col min="3324" max="3324" width="25.7109375" customWidth="1"/>
    <col min="3325" max="3325" width="11.28515625" customWidth="1"/>
    <col min="3326" max="3326" width="12" customWidth="1"/>
    <col min="3327" max="3327" width="14.140625" customWidth="1"/>
    <col min="3329" max="3329" width="13" customWidth="1"/>
    <col min="3331" max="3331" width="13.5703125" customWidth="1"/>
    <col min="3332" max="3332" width="19.42578125" customWidth="1"/>
    <col min="3333" max="3333" width="6.5703125" customWidth="1"/>
    <col min="3334" max="3334" width="16.28515625" customWidth="1"/>
    <col min="3335" max="3335" width="12.140625" customWidth="1"/>
    <col min="3336" max="3336" width="8.7109375" customWidth="1"/>
    <col min="3337" max="3339" width="12.140625" customWidth="1"/>
    <col min="3341" max="3341" width="10.42578125" customWidth="1"/>
    <col min="3342" max="3342" width="13.5703125" customWidth="1"/>
    <col min="3354" max="3354" width="6.5703125" customWidth="1"/>
    <col min="3355" max="3355" width="11.140625" customWidth="1"/>
    <col min="3356" max="3356" width="12.7109375" customWidth="1"/>
    <col min="3357" max="3357" width="10.7109375" customWidth="1"/>
    <col min="3362" max="3362" width="6.5703125" customWidth="1"/>
    <col min="3366" max="3366" width="0.5703125" customWidth="1"/>
    <col min="3367" max="3367" width="15.28515625" customWidth="1"/>
    <col min="3368" max="3368" width="12.7109375" customWidth="1"/>
    <col min="3369" max="3369" width="12.85546875" customWidth="1"/>
    <col min="3370" max="3370" width="12.28515625" customWidth="1"/>
    <col min="3371" max="3371" width="11.7109375" customWidth="1"/>
    <col min="3372" max="3372" width="11.85546875" customWidth="1"/>
    <col min="3379" max="3379" width="5.42578125" customWidth="1"/>
    <col min="3381" max="3381" width="12.85546875" customWidth="1"/>
    <col min="3382" max="3382" width="12.7109375" customWidth="1"/>
    <col min="3383" max="3383" width="10.7109375" bestFit="1" customWidth="1"/>
    <col min="3576" max="3576" width="8.42578125" customWidth="1"/>
    <col min="3577" max="3577" width="15.42578125" customWidth="1"/>
    <col min="3578" max="3578" width="11.5703125" customWidth="1"/>
    <col min="3580" max="3580" width="25.7109375" customWidth="1"/>
    <col min="3581" max="3581" width="11.28515625" customWidth="1"/>
    <col min="3582" max="3582" width="12" customWidth="1"/>
    <col min="3583" max="3583" width="14.140625" customWidth="1"/>
    <col min="3585" max="3585" width="13" customWidth="1"/>
    <col min="3587" max="3587" width="13.5703125" customWidth="1"/>
    <col min="3588" max="3588" width="19.42578125" customWidth="1"/>
    <col min="3589" max="3589" width="6.5703125" customWidth="1"/>
    <col min="3590" max="3590" width="16.28515625" customWidth="1"/>
    <col min="3591" max="3591" width="12.140625" customWidth="1"/>
    <col min="3592" max="3592" width="8.7109375" customWidth="1"/>
    <col min="3593" max="3595" width="12.140625" customWidth="1"/>
    <col min="3597" max="3597" width="10.42578125" customWidth="1"/>
    <col min="3598" max="3598" width="13.5703125" customWidth="1"/>
    <col min="3610" max="3610" width="6.5703125" customWidth="1"/>
    <col min="3611" max="3611" width="11.140625" customWidth="1"/>
    <col min="3612" max="3612" width="12.7109375" customWidth="1"/>
    <col min="3613" max="3613" width="10.7109375" customWidth="1"/>
    <col min="3618" max="3618" width="6.5703125" customWidth="1"/>
    <col min="3622" max="3622" width="0.5703125" customWidth="1"/>
    <col min="3623" max="3623" width="15.28515625" customWidth="1"/>
    <col min="3624" max="3624" width="12.7109375" customWidth="1"/>
    <col min="3625" max="3625" width="12.85546875" customWidth="1"/>
    <col min="3626" max="3626" width="12.28515625" customWidth="1"/>
    <col min="3627" max="3627" width="11.7109375" customWidth="1"/>
    <col min="3628" max="3628" width="11.85546875" customWidth="1"/>
    <col min="3635" max="3635" width="5.42578125" customWidth="1"/>
    <col min="3637" max="3637" width="12.85546875" customWidth="1"/>
    <col min="3638" max="3638" width="12.7109375" customWidth="1"/>
    <col min="3639" max="3639" width="10.7109375" bestFit="1" customWidth="1"/>
    <col min="3832" max="3832" width="8.42578125" customWidth="1"/>
    <col min="3833" max="3833" width="15.42578125" customWidth="1"/>
    <col min="3834" max="3834" width="11.5703125" customWidth="1"/>
    <col min="3836" max="3836" width="25.7109375" customWidth="1"/>
    <col min="3837" max="3837" width="11.28515625" customWidth="1"/>
    <col min="3838" max="3838" width="12" customWidth="1"/>
    <col min="3839" max="3839" width="14.140625" customWidth="1"/>
    <col min="3841" max="3841" width="13" customWidth="1"/>
    <col min="3843" max="3843" width="13.5703125" customWidth="1"/>
    <col min="3844" max="3844" width="19.42578125" customWidth="1"/>
    <col min="3845" max="3845" width="6.5703125" customWidth="1"/>
    <col min="3846" max="3846" width="16.28515625" customWidth="1"/>
    <col min="3847" max="3847" width="12.140625" customWidth="1"/>
    <col min="3848" max="3848" width="8.7109375" customWidth="1"/>
    <col min="3849" max="3851" width="12.140625" customWidth="1"/>
    <col min="3853" max="3853" width="10.42578125" customWidth="1"/>
    <col min="3854" max="3854" width="13.5703125" customWidth="1"/>
    <col min="3866" max="3866" width="6.5703125" customWidth="1"/>
    <col min="3867" max="3867" width="11.140625" customWidth="1"/>
    <col min="3868" max="3868" width="12.7109375" customWidth="1"/>
    <col min="3869" max="3869" width="10.7109375" customWidth="1"/>
    <col min="3874" max="3874" width="6.5703125" customWidth="1"/>
    <col min="3878" max="3878" width="0.5703125" customWidth="1"/>
    <col min="3879" max="3879" width="15.28515625" customWidth="1"/>
    <col min="3880" max="3880" width="12.7109375" customWidth="1"/>
    <col min="3881" max="3881" width="12.85546875" customWidth="1"/>
    <col min="3882" max="3882" width="12.28515625" customWidth="1"/>
    <col min="3883" max="3883" width="11.7109375" customWidth="1"/>
    <col min="3884" max="3884" width="11.85546875" customWidth="1"/>
    <col min="3891" max="3891" width="5.42578125" customWidth="1"/>
    <col min="3893" max="3893" width="12.85546875" customWidth="1"/>
    <col min="3894" max="3894" width="12.7109375" customWidth="1"/>
    <col min="3895" max="3895" width="10.7109375" bestFit="1" customWidth="1"/>
    <col min="4088" max="4088" width="8.42578125" customWidth="1"/>
    <col min="4089" max="4089" width="15.42578125" customWidth="1"/>
    <col min="4090" max="4090" width="11.5703125" customWidth="1"/>
    <col min="4092" max="4092" width="25.7109375" customWidth="1"/>
    <col min="4093" max="4093" width="11.28515625" customWidth="1"/>
    <col min="4094" max="4094" width="12" customWidth="1"/>
    <col min="4095" max="4095" width="14.140625" customWidth="1"/>
    <col min="4097" max="4097" width="13" customWidth="1"/>
    <col min="4099" max="4099" width="13.5703125" customWidth="1"/>
    <col min="4100" max="4100" width="19.42578125" customWidth="1"/>
    <col min="4101" max="4101" width="6.5703125" customWidth="1"/>
    <col min="4102" max="4102" width="16.28515625" customWidth="1"/>
    <col min="4103" max="4103" width="12.140625" customWidth="1"/>
    <col min="4104" max="4104" width="8.7109375" customWidth="1"/>
    <col min="4105" max="4107" width="12.140625" customWidth="1"/>
    <col min="4109" max="4109" width="10.42578125" customWidth="1"/>
    <col min="4110" max="4110" width="13.5703125" customWidth="1"/>
    <col min="4122" max="4122" width="6.5703125" customWidth="1"/>
    <col min="4123" max="4123" width="11.140625" customWidth="1"/>
    <col min="4124" max="4124" width="12.7109375" customWidth="1"/>
    <col min="4125" max="4125" width="10.7109375" customWidth="1"/>
    <col min="4130" max="4130" width="6.5703125" customWidth="1"/>
    <col min="4134" max="4134" width="0.5703125" customWidth="1"/>
    <col min="4135" max="4135" width="15.28515625" customWidth="1"/>
    <col min="4136" max="4136" width="12.7109375" customWidth="1"/>
    <col min="4137" max="4137" width="12.85546875" customWidth="1"/>
    <col min="4138" max="4138" width="12.28515625" customWidth="1"/>
    <col min="4139" max="4139" width="11.7109375" customWidth="1"/>
    <col min="4140" max="4140" width="11.85546875" customWidth="1"/>
    <col min="4147" max="4147" width="5.42578125" customWidth="1"/>
    <col min="4149" max="4149" width="12.85546875" customWidth="1"/>
    <col min="4150" max="4150" width="12.7109375" customWidth="1"/>
    <col min="4151" max="4151" width="10.7109375" bestFit="1" customWidth="1"/>
    <col min="4344" max="4344" width="8.42578125" customWidth="1"/>
    <col min="4345" max="4345" width="15.42578125" customWidth="1"/>
    <col min="4346" max="4346" width="11.5703125" customWidth="1"/>
    <col min="4348" max="4348" width="25.7109375" customWidth="1"/>
    <col min="4349" max="4349" width="11.28515625" customWidth="1"/>
    <col min="4350" max="4350" width="12" customWidth="1"/>
    <col min="4351" max="4351" width="14.140625" customWidth="1"/>
    <col min="4353" max="4353" width="13" customWidth="1"/>
    <col min="4355" max="4355" width="13.5703125" customWidth="1"/>
    <col min="4356" max="4356" width="19.42578125" customWidth="1"/>
    <col min="4357" max="4357" width="6.5703125" customWidth="1"/>
    <col min="4358" max="4358" width="16.28515625" customWidth="1"/>
    <col min="4359" max="4359" width="12.140625" customWidth="1"/>
    <col min="4360" max="4360" width="8.7109375" customWidth="1"/>
    <col min="4361" max="4363" width="12.140625" customWidth="1"/>
    <col min="4365" max="4365" width="10.42578125" customWidth="1"/>
    <col min="4366" max="4366" width="13.5703125" customWidth="1"/>
    <col min="4378" max="4378" width="6.5703125" customWidth="1"/>
    <col min="4379" max="4379" width="11.140625" customWidth="1"/>
    <col min="4380" max="4380" width="12.7109375" customWidth="1"/>
    <col min="4381" max="4381" width="10.7109375" customWidth="1"/>
    <col min="4386" max="4386" width="6.5703125" customWidth="1"/>
    <col min="4390" max="4390" width="0.5703125" customWidth="1"/>
    <col min="4391" max="4391" width="15.28515625" customWidth="1"/>
    <col min="4392" max="4392" width="12.7109375" customWidth="1"/>
    <col min="4393" max="4393" width="12.85546875" customWidth="1"/>
    <col min="4394" max="4394" width="12.28515625" customWidth="1"/>
    <col min="4395" max="4395" width="11.7109375" customWidth="1"/>
    <col min="4396" max="4396" width="11.85546875" customWidth="1"/>
    <col min="4403" max="4403" width="5.42578125" customWidth="1"/>
    <col min="4405" max="4405" width="12.85546875" customWidth="1"/>
    <col min="4406" max="4406" width="12.7109375" customWidth="1"/>
    <col min="4407" max="4407" width="10.7109375" bestFit="1" customWidth="1"/>
    <col min="4600" max="4600" width="8.42578125" customWidth="1"/>
    <col min="4601" max="4601" width="15.42578125" customWidth="1"/>
    <col min="4602" max="4602" width="11.5703125" customWidth="1"/>
    <col min="4604" max="4604" width="25.7109375" customWidth="1"/>
    <col min="4605" max="4605" width="11.28515625" customWidth="1"/>
    <col min="4606" max="4606" width="12" customWidth="1"/>
    <col min="4607" max="4607" width="14.140625" customWidth="1"/>
    <col min="4609" max="4609" width="13" customWidth="1"/>
    <col min="4611" max="4611" width="13.5703125" customWidth="1"/>
    <col min="4612" max="4612" width="19.42578125" customWidth="1"/>
    <col min="4613" max="4613" width="6.5703125" customWidth="1"/>
    <col min="4614" max="4614" width="16.28515625" customWidth="1"/>
    <col min="4615" max="4615" width="12.140625" customWidth="1"/>
    <col min="4616" max="4616" width="8.7109375" customWidth="1"/>
    <col min="4617" max="4619" width="12.140625" customWidth="1"/>
    <col min="4621" max="4621" width="10.42578125" customWidth="1"/>
    <col min="4622" max="4622" width="13.5703125" customWidth="1"/>
    <col min="4634" max="4634" width="6.5703125" customWidth="1"/>
    <col min="4635" max="4635" width="11.140625" customWidth="1"/>
    <col min="4636" max="4636" width="12.7109375" customWidth="1"/>
    <col min="4637" max="4637" width="10.7109375" customWidth="1"/>
    <col min="4642" max="4642" width="6.5703125" customWidth="1"/>
    <col min="4646" max="4646" width="0.5703125" customWidth="1"/>
    <col min="4647" max="4647" width="15.28515625" customWidth="1"/>
    <col min="4648" max="4648" width="12.7109375" customWidth="1"/>
    <col min="4649" max="4649" width="12.85546875" customWidth="1"/>
    <col min="4650" max="4650" width="12.28515625" customWidth="1"/>
    <col min="4651" max="4651" width="11.7109375" customWidth="1"/>
    <col min="4652" max="4652" width="11.85546875" customWidth="1"/>
    <col min="4659" max="4659" width="5.42578125" customWidth="1"/>
    <col min="4661" max="4661" width="12.85546875" customWidth="1"/>
    <col min="4662" max="4662" width="12.7109375" customWidth="1"/>
    <col min="4663" max="4663" width="10.7109375" bestFit="1" customWidth="1"/>
    <col min="4856" max="4856" width="8.42578125" customWidth="1"/>
    <col min="4857" max="4857" width="15.42578125" customWidth="1"/>
    <col min="4858" max="4858" width="11.5703125" customWidth="1"/>
    <col min="4860" max="4860" width="25.7109375" customWidth="1"/>
    <col min="4861" max="4861" width="11.28515625" customWidth="1"/>
    <col min="4862" max="4862" width="12" customWidth="1"/>
    <col min="4863" max="4863" width="14.140625" customWidth="1"/>
    <col min="4865" max="4865" width="13" customWidth="1"/>
    <col min="4867" max="4867" width="13.5703125" customWidth="1"/>
    <col min="4868" max="4868" width="19.42578125" customWidth="1"/>
    <col min="4869" max="4869" width="6.5703125" customWidth="1"/>
    <col min="4870" max="4870" width="16.28515625" customWidth="1"/>
    <col min="4871" max="4871" width="12.140625" customWidth="1"/>
    <col min="4872" max="4872" width="8.7109375" customWidth="1"/>
    <col min="4873" max="4875" width="12.140625" customWidth="1"/>
    <col min="4877" max="4877" width="10.42578125" customWidth="1"/>
    <col min="4878" max="4878" width="13.5703125" customWidth="1"/>
    <col min="4890" max="4890" width="6.5703125" customWidth="1"/>
    <col min="4891" max="4891" width="11.140625" customWidth="1"/>
    <col min="4892" max="4892" width="12.7109375" customWidth="1"/>
    <col min="4893" max="4893" width="10.7109375" customWidth="1"/>
    <col min="4898" max="4898" width="6.5703125" customWidth="1"/>
    <col min="4902" max="4902" width="0.5703125" customWidth="1"/>
    <col min="4903" max="4903" width="15.28515625" customWidth="1"/>
    <col min="4904" max="4904" width="12.7109375" customWidth="1"/>
    <col min="4905" max="4905" width="12.85546875" customWidth="1"/>
    <col min="4906" max="4906" width="12.28515625" customWidth="1"/>
    <col min="4907" max="4907" width="11.7109375" customWidth="1"/>
    <col min="4908" max="4908" width="11.85546875" customWidth="1"/>
    <col min="4915" max="4915" width="5.42578125" customWidth="1"/>
    <col min="4917" max="4917" width="12.85546875" customWidth="1"/>
    <col min="4918" max="4918" width="12.7109375" customWidth="1"/>
    <col min="4919" max="4919" width="10.7109375" bestFit="1" customWidth="1"/>
    <col min="5112" max="5112" width="8.42578125" customWidth="1"/>
    <col min="5113" max="5113" width="15.42578125" customWidth="1"/>
    <col min="5114" max="5114" width="11.5703125" customWidth="1"/>
    <col min="5116" max="5116" width="25.7109375" customWidth="1"/>
    <col min="5117" max="5117" width="11.28515625" customWidth="1"/>
    <col min="5118" max="5118" width="12" customWidth="1"/>
    <col min="5119" max="5119" width="14.140625" customWidth="1"/>
    <col min="5121" max="5121" width="13" customWidth="1"/>
    <col min="5123" max="5123" width="13.5703125" customWidth="1"/>
    <col min="5124" max="5124" width="19.42578125" customWidth="1"/>
    <col min="5125" max="5125" width="6.5703125" customWidth="1"/>
    <col min="5126" max="5126" width="16.28515625" customWidth="1"/>
    <col min="5127" max="5127" width="12.140625" customWidth="1"/>
    <col min="5128" max="5128" width="8.7109375" customWidth="1"/>
    <col min="5129" max="5131" width="12.140625" customWidth="1"/>
    <col min="5133" max="5133" width="10.42578125" customWidth="1"/>
    <col min="5134" max="5134" width="13.5703125" customWidth="1"/>
    <col min="5146" max="5146" width="6.5703125" customWidth="1"/>
    <col min="5147" max="5147" width="11.140625" customWidth="1"/>
    <col min="5148" max="5148" width="12.7109375" customWidth="1"/>
    <col min="5149" max="5149" width="10.7109375" customWidth="1"/>
    <col min="5154" max="5154" width="6.5703125" customWidth="1"/>
    <col min="5158" max="5158" width="0.5703125" customWidth="1"/>
    <col min="5159" max="5159" width="15.28515625" customWidth="1"/>
    <col min="5160" max="5160" width="12.7109375" customWidth="1"/>
    <col min="5161" max="5161" width="12.85546875" customWidth="1"/>
    <col min="5162" max="5162" width="12.28515625" customWidth="1"/>
    <col min="5163" max="5163" width="11.7109375" customWidth="1"/>
    <col min="5164" max="5164" width="11.85546875" customWidth="1"/>
    <col min="5171" max="5171" width="5.42578125" customWidth="1"/>
    <col min="5173" max="5173" width="12.85546875" customWidth="1"/>
    <col min="5174" max="5174" width="12.7109375" customWidth="1"/>
    <col min="5175" max="5175" width="10.7109375" bestFit="1" customWidth="1"/>
    <col min="5368" max="5368" width="8.42578125" customWidth="1"/>
    <col min="5369" max="5369" width="15.42578125" customWidth="1"/>
    <col min="5370" max="5370" width="11.5703125" customWidth="1"/>
    <col min="5372" max="5372" width="25.7109375" customWidth="1"/>
    <col min="5373" max="5373" width="11.28515625" customWidth="1"/>
    <col min="5374" max="5374" width="12" customWidth="1"/>
    <col min="5375" max="5375" width="14.140625" customWidth="1"/>
    <col min="5377" max="5377" width="13" customWidth="1"/>
    <col min="5379" max="5379" width="13.5703125" customWidth="1"/>
    <col min="5380" max="5380" width="19.42578125" customWidth="1"/>
    <col min="5381" max="5381" width="6.5703125" customWidth="1"/>
    <col min="5382" max="5382" width="16.28515625" customWidth="1"/>
    <col min="5383" max="5383" width="12.140625" customWidth="1"/>
    <col min="5384" max="5384" width="8.7109375" customWidth="1"/>
    <col min="5385" max="5387" width="12.140625" customWidth="1"/>
    <col min="5389" max="5389" width="10.42578125" customWidth="1"/>
    <col min="5390" max="5390" width="13.5703125" customWidth="1"/>
    <col min="5402" max="5402" width="6.5703125" customWidth="1"/>
    <col min="5403" max="5403" width="11.140625" customWidth="1"/>
    <col min="5404" max="5404" width="12.7109375" customWidth="1"/>
    <col min="5405" max="5405" width="10.7109375" customWidth="1"/>
    <col min="5410" max="5410" width="6.5703125" customWidth="1"/>
    <col min="5414" max="5414" width="0.5703125" customWidth="1"/>
    <col min="5415" max="5415" width="15.28515625" customWidth="1"/>
    <col min="5416" max="5416" width="12.7109375" customWidth="1"/>
    <col min="5417" max="5417" width="12.85546875" customWidth="1"/>
    <col min="5418" max="5418" width="12.28515625" customWidth="1"/>
    <col min="5419" max="5419" width="11.7109375" customWidth="1"/>
    <col min="5420" max="5420" width="11.85546875" customWidth="1"/>
    <col min="5427" max="5427" width="5.42578125" customWidth="1"/>
    <col min="5429" max="5429" width="12.85546875" customWidth="1"/>
    <col min="5430" max="5430" width="12.7109375" customWidth="1"/>
    <col min="5431" max="5431" width="10.7109375" bestFit="1" customWidth="1"/>
    <col min="5624" max="5624" width="8.42578125" customWidth="1"/>
    <col min="5625" max="5625" width="15.42578125" customWidth="1"/>
    <col min="5626" max="5626" width="11.5703125" customWidth="1"/>
    <col min="5628" max="5628" width="25.7109375" customWidth="1"/>
    <col min="5629" max="5629" width="11.28515625" customWidth="1"/>
    <col min="5630" max="5630" width="12" customWidth="1"/>
    <col min="5631" max="5631" width="14.140625" customWidth="1"/>
    <col min="5633" max="5633" width="13" customWidth="1"/>
    <col min="5635" max="5635" width="13.5703125" customWidth="1"/>
    <col min="5636" max="5636" width="19.42578125" customWidth="1"/>
    <col min="5637" max="5637" width="6.5703125" customWidth="1"/>
    <col min="5638" max="5638" width="16.28515625" customWidth="1"/>
    <col min="5639" max="5639" width="12.140625" customWidth="1"/>
    <col min="5640" max="5640" width="8.7109375" customWidth="1"/>
    <col min="5641" max="5643" width="12.140625" customWidth="1"/>
    <col min="5645" max="5645" width="10.42578125" customWidth="1"/>
    <col min="5646" max="5646" width="13.5703125" customWidth="1"/>
    <col min="5658" max="5658" width="6.5703125" customWidth="1"/>
    <col min="5659" max="5659" width="11.140625" customWidth="1"/>
    <col min="5660" max="5660" width="12.7109375" customWidth="1"/>
    <col min="5661" max="5661" width="10.7109375" customWidth="1"/>
    <col min="5666" max="5666" width="6.5703125" customWidth="1"/>
    <col min="5670" max="5670" width="0.5703125" customWidth="1"/>
    <col min="5671" max="5671" width="15.28515625" customWidth="1"/>
    <col min="5672" max="5672" width="12.7109375" customWidth="1"/>
    <col min="5673" max="5673" width="12.85546875" customWidth="1"/>
    <col min="5674" max="5674" width="12.28515625" customWidth="1"/>
    <col min="5675" max="5675" width="11.7109375" customWidth="1"/>
    <col min="5676" max="5676" width="11.85546875" customWidth="1"/>
    <col min="5683" max="5683" width="5.42578125" customWidth="1"/>
    <col min="5685" max="5685" width="12.85546875" customWidth="1"/>
    <col min="5686" max="5686" width="12.7109375" customWidth="1"/>
    <col min="5687" max="5687" width="10.7109375" bestFit="1" customWidth="1"/>
    <col min="5880" max="5880" width="8.42578125" customWidth="1"/>
    <col min="5881" max="5881" width="15.42578125" customWidth="1"/>
    <col min="5882" max="5882" width="11.5703125" customWidth="1"/>
    <col min="5884" max="5884" width="25.7109375" customWidth="1"/>
    <col min="5885" max="5885" width="11.28515625" customWidth="1"/>
    <col min="5886" max="5886" width="12" customWidth="1"/>
    <col min="5887" max="5887" width="14.140625" customWidth="1"/>
    <col min="5889" max="5889" width="13" customWidth="1"/>
    <col min="5891" max="5891" width="13.5703125" customWidth="1"/>
    <col min="5892" max="5892" width="19.42578125" customWidth="1"/>
    <col min="5893" max="5893" width="6.5703125" customWidth="1"/>
    <col min="5894" max="5894" width="16.28515625" customWidth="1"/>
    <col min="5895" max="5895" width="12.140625" customWidth="1"/>
    <col min="5896" max="5896" width="8.7109375" customWidth="1"/>
    <col min="5897" max="5899" width="12.140625" customWidth="1"/>
    <col min="5901" max="5901" width="10.42578125" customWidth="1"/>
    <col min="5902" max="5902" width="13.5703125" customWidth="1"/>
    <col min="5914" max="5914" width="6.5703125" customWidth="1"/>
    <col min="5915" max="5915" width="11.140625" customWidth="1"/>
    <col min="5916" max="5916" width="12.7109375" customWidth="1"/>
    <col min="5917" max="5917" width="10.7109375" customWidth="1"/>
    <col min="5922" max="5922" width="6.5703125" customWidth="1"/>
    <col min="5926" max="5926" width="0.5703125" customWidth="1"/>
    <col min="5927" max="5927" width="15.28515625" customWidth="1"/>
    <col min="5928" max="5928" width="12.7109375" customWidth="1"/>
    <col min="5929" max="5929" width="12.85546875" customWidth="1"/>
    <col min="5930" max="5930" width="12.28515625" customWidth="1"/>
    <col min="5931" max="5931" width="11.7109375" customWidth="1"/>
    <col min="5932" max="5932" width="11.85546875" customWidth="1"/>
    <col min="5939" max="5939" width="5.42578125" customWidth="1"/>
    <col min="5941" max="5941" width="12.85546875" customWidth="1"/>
    <col min="5942" max="5942" width="12.7109375" customWidth="1"/>
    <col min="5943" max="5943" width="10.7109375" bestFit="1" customWidth="1"/>
    <col min="6136" max="6136" width="8.42578125" customWidth="1"/>
    <col min="6137" max="6137" width="15.42578125" customWidth="1"/>
    <col min="6138" max="6138" width="11.5703125" customWidth="1"/>
    <col min="6140" max="6140" width="25.7109375" customWidth="1"/>
    <col min="6141" max="6141" width="11.28515625" customWidth="1"/>
    <col min="6142" max="6142" width="12" customWidth="1"/>
    <col min="6143" max="6143" width="14.140625" customWidth="1"/>
    <col min="6145" max="6145" width="13" customWidth="1"/>
    <col min="6147" max="6147" width="13.5703125" customWidth="1"/>
    <col min="6148" max="6148" width="19.42578125" customWidth="1"/>
    <col min="6149" max="6149" width="6.5703125" customWidth="1"/>
    <col min="6150" max="6150" width="16.28515625" customWidth="1"/>
    <col min="6151" max="6151" width="12.140625" customWidth="1"/>
    <col min="6152" max="6152" width="8.7109375" customWidth="1"/>
    <col min="6153" max="6155" width="12.140625" customWidth="1"/>
    <col min="6157" max="6157" width="10.42578125" customWidth="1"/>
    <col min="6158" max="6158" width="13.5703125" customWidth="1"/>
    <col min="6170" max="6170" width="6.5703125" customWidth="1"/>
    <col min="6171" max="6171" width="11.140625" customWidth="1"/>
    <col min="6172" max="6172" width="12.7109375" customWidth="1"/>
    <col min="6173" max="6173" width="10.7109375" customWidth="1"/>
    <col min="6178" max="6178" width="6.5703125" customWidth="1"/>
    <col min="6182" max="6182" width="0.5703125" customWidth="1"/>
    <col min="6183" max="6183" width="15.28515625" customWidth="1"/>
    <col min="6184" max="6184" width="12.7109375" customWidth="1"/>
    <col min="6185" max="6185" width="12.85546875" customWidth="1"/>
    <col min="6186" max="6186" width="12.28515625" customWidth="1"/>
    <col min="6187" max="6187" width="11.7109375" customWidth="1"/>
    <col min="6188" max="6188" width="11.85546875" customWidth="1"/>
    <col min="6195" max="6195" width="5.42578125" customWidth="1"/>
    <col min="6197" max="6197" width="12.85546875" customWidth="1"/>
    <col min="6198" max="6198" width="12.7109375" customWidth="1"/>
    <col min="6199" max="6199" width="10.7109375" bestFit="1" customWidth="1"/>
    <col min="6392" max="6392" width="8.42578125" customWidth="1"/>
    <col min="6393" max="6393" width="15.42578125" customWidth="1"/>
    <col min="6394" max="6394" width="11.5703125" customWidth="1"/>
    <col min="6396" max="6396" width="25.7109375" customWidth="1"/>
    <col min="6397" max="6397" width="11.28515625" customWidth="1"/>
    <col min="6398" max="6398" width="12" customWidth="1"/>
    <col min="6399" max="6399" width="14.140625" customWidth="1"/>
    <col min="6401" max="6401" width="13" customWidth="1"/>
    <col min="6403" max="6403" width="13.5703125" customWidth="1"/>
    <col min="6404" max="6404" width="19.42578125" customWidth="1"/>
    <col min="6405" max="6405" width="6.5703125" customWidth="1"/>
    <col min="6406" max="6406" width="16.28515625" customWidth="1"/>
    <col min="6407" max="6407" width="12.140625" customWidth="1"/>
    <col min="6408" max="6408" width="8.7109375" customWidth="1"/>
    <col min="6409" max="6411" width="12.140625" customWidth="1"/>
    <col min="6413" max="6413" width="10.42578125" customWidth="1"/>
    <col min="6414" max="6414" width="13.5703125" customWidth="1"/>
    <col min="6426" max="6426" width="6.5703125" customWidth="1"/>
    <col min="6427" max="6427" width="11.140625" customWidth="1"/>
    <col min="6428" max="6428" width="12.7109375" customWidth="1"/>
    <col min="6429" max="6429" width="10.7109375" customWidth="1"/>
    <col min="6434" max="6434" width="6.5703125" customWidth="1"/>
    <col min="6438" max="6438" width="0.5703125" customWidth="1"/>
    <col min="6439" max="6439" width="15.28515625" customWidth="1"/>
    <col min="6440" max="6440" width="12.7109375" customWidth="1"/>
    <col min="6441" max="6441" width="12.85546875" customWidth="1"/>
    <col min="6442" max="6442" width="12.28515625" customWidth="1"/>
    <col min="6443" max="6443" width="11.7109375" customWidth="1"/>
    <col min="6444" max="6444" width="11.85546875" customWidth="1"/>
    <col min="6451" max="6451" width="5.42578125" customWidth="1"/>
    <col min="6453" max="6453" width="12.85546875" customWidth="1"/>
    <col min="6454" max="6454" width="12.7109375" customWidth="1"/>
    <col min="6455" max="6455" width="10.7109375" bestFit="1" customWidth="1"/>
    <col min="6648" max="6648" width="8.42578125" customWidth="1"/>
    <col min="6649" max="6649" width="15.42578125" customWidth="1"/>
    <col min="6650" max="6650" width="11.5703125" customWidth="1"/>
    <col min="6652" max="6652" width="25.7109375" customWidth="1"/>
    <col min="6653" max="6653" width="11.28515625" customWidth="1"/>
    <col min="6654" max="6654" width="12" customWidth="1"/>
    <col min="6655" max="6655" width="14.140625" customWidth="1"/>
    <col min="6657" max="6657" width="13" customWidth="1"/>
    <col min="6659" max="6659" width="13.5703125" customWidth="1"/>
    <col min="6660" max="6660" width="19.42578125" customWidth="1"/>
    <col min="6661" max="6661" width="6.5703125" customWidth="1"/>
    <col min="6662" max="6662" width="16.28515625" customWidth="1"/>
    <col min="6663" max="6663" width="12.140625" customWidth="1"/>
    <col min="6664" max="6664" width="8.7109375" customWidth="1"/>
    <col min="6665" max="6667" width="12.140625" customWidth="1"/>
    <col min="6669" max="6669" width="10.42578125" customWidth="1"/>
    <col min="6670" max="6670" width="13.5703125" customWidth="1"/>
    <col min="6682" max="6682" width="6.5703125" customWidth="1"/>
    <col min="6683" max="6683" width="11.140625" customWidth="1"/>
    <col min="6684" max="6684" width="12.7109375" customWidth="1"/>
    <col min="6685" max="6685" width="10.7109375" customWidth="1"/>
    <col min="6690" max="6690" width="6.5703125" customWidth="1"/>
    <col min="6694" max="6694" width="0.5703125" customWidth="1"/>
    <col min="6695" max="6695" width="15.28515625" customWidth="1"/>
    <col min="6696" max="6696" width="12.7109375" customWidth="1"/>
    <col min="6697" max="6697" width="12.85546875" customWidth="1"/>
    <col min="6698" max="6698" width="12.28515625" customWidth="1"/>
    <col min="6699" max="6699" width="11.7109375" customWidth="1"/>
    <col min="6700" max="6700" width="11.85546875" customWidth="1"/>
    <col min="6707" max="6707" width="5.42578125" customWidth="1"/>
    <col min="6709" max="6709" width="12.85546875" customWidth="1"/>
    <col min="6710" max="6710" width="12.7109375" customWidth="1"/>
    <col min="6711" max="6711" width="10.7109375" bestFit="1" customWidth="1"/>
    <col min="6904" max="6904" width="8.42578125" customWidth="1"/>
    <col min="6905" max="6905" width="15.42578125" customWidth="1"/>
    <col min="6906" max="6906" width="11.5703125" customWidth="1"/>
    <col min="6908" max="6908" width="25.7109375" customWidth="1"/>
    <col min="6909" max="6909" width="11.28515625" customWidth="1"/>
    <col min="6910" max="6910" width="12" customWidth="1"/>
    <col min="6911" max="6911" width="14.140625" customWidth="1"/>
    <col min="6913" max="6913" width="13" customWidth="1"/>
    <col min="6915" max="6915" width="13.5703125" customWidth="1"/>
    <col min="6916" max="6916" width="19.42578125" customWidth="1"/>
    <col min="6917" max="6917" width="6.5703125" customWidth="1"/>
    <col min="6918" max="6918" width="16.28515625" customWidth="1"/>
    <col min="6919" max="6919" width="12.140625" customWidth="1"/>
    <col min="6920" max="6920" width="8.7109375" customWidth="1"/>
    <col min="6921" max="6923" width="12.140625" customWidth="1"/>
    <col min="6925" max="6925" width="10.42578125" customWidth="1"/>
    <col min="6926" max="6926" width="13.5703125" customWidth="1"/>
    <col min="6938" max="6938" width="6.5703125" customWidth="1"/>
    <col min="6939" max="6939" width="11.140625" customWidth="1"/>
    <col min="6940" max="6940" width="12.7109375" customWidth="1"/>
    <col min="6941" max="6941" width="10.7109375" customWidth="1"/>
    <col min="6946" max="6946" width="6.5703125" customWidth="1"/>
    <col min="6950" max="6950" width="0.5703125" customWidth="1"/>
    <col min="6951" max="6951" width="15.28515625" customWidth="1"/>
    <col min="6952" max="6952" width="12.7109375" customWidth="1"/>
    <col min="6953" max="6953" width="12.85546875" customWidth="1"/>
    <col min="6954" max="6954" width="12.28515625" customWidth="1"/>
    <col min="6955" max="6955" width="11.7109375" customWidth="1"/>
    <col min="6956" max="6956" width="11.85546875" customWidth="1"/>
    <col min="6963" max="6963" width="5.42578125" customWidth="1"/>
    <col min="6965" max="6965" width="12.85546875" customWidth="1"/>
    <col min="6966" max="6966" width="12.7109375" customWidth="1"/>
    <col min="6967" max="6967" width="10.7109375" bestFit="1" customWidth="1"/>
    <col min="7160" max="7160" width="8.42578125" customWidth="1"/>
    <col min="7161" max="7161" width="15.42578125" customWidth="1"/>
    <col min="7162" max="7162" width="11.5703125" customWidth="1"/>
    <col min="7164" max="7164" width="25.7109375" customWidth="1"/>
    <col min="7165" max="7165" width="11.28515625" customWidth="1"/>
    <col min="7166" max="7166" width="12" customWidth="1"/>
    <col min="7167" max="7167" width="14.140625" customWidth="1"/>
    <col min="7169" max="7169" width="13" customWidth="1"/>
    <col min="7171" max="7171" width="13.5703125" customWidth="1"/>
    <col min="7172" max="7172" width="19.42578125" customWidth="1"/>
    <col min="7173" max="7173" width="6.5703125" customWidth="1"/>
    <col min="7174" max="7174" width="16.28515625" customWidth="1"/>
    <col min="7175" max="7175" width="12.140625" customWidth="1"/>
    <col min="7176" max="7176" width="8.7109375" customWidth="1"/>
    <col min="7177" max="7179" width="12.140625" customWidth="1"/>
    <col min="7181" max="7181" width="10.42578125" customWidth="1"/>
    <col min="7182" max="7182" width="13.5703125" customWidth="1"/>
    <col min="7194" max="7194" width="6.5703125" customWidth="1"/>
    <col min="7195" max="7195" width="11.140625" customWidth="1"/>
    <col min="7196" max="7196" width="12.7109375" customWidth="1"/>
    <col min="7197" max="7197" width="10.7109375" customWidth="1"/>
    <col min="7202" max="7202" width="6.5703125" customWidth="1"/>
    <col min="7206" max="7206" width="0.5703125" customWidth="1"/>
    <col min="7207" max="7207" width="15.28515625" customWidth="1"/>
    <col min="7208" max="7208" width="12.7109375" customWidth="1"/>
    <col min="7209" max="7209" width="12.85546875" customWidth="1"/>
    <col min="7210" max="7210" width="12.28515625" customWidth="1"/>
    <col min="7211" max="7211" width="11.7109375" customWidth="1"/>
    <col min="7212" max="7212" width="11.85546875" customWidth="1"/>
    <col min="7219" max="7219" width="5.42578125" customWidth="1"/>
    <col min="7221" max="7221" width="12.85546875" customWidth="1"/>
    <col min="7222" max="7222" width="12.7109375" customWidth="1"/>
    <col min="7223" max="7223" width="10.7109375" bestFit="1" customWidth="1"/>
    <col min="7416" max="7416" width="8.42578125" customWidth="1"/>
    <col min="7417" max="7417" width="15.42578125" customWidth="1"/>
    <col min="7418" max="7418" width="11.5703125" customWidth="1"/>
    <col min="7420" max="7420" width="25.7109375" customWidth="1"/>
    <col min="7421" max="7421" width="11.28515625" customWidth="1"/>
    <col min="7422" max="7422" width="12" customWidth="1"/>
    <col min="7423" max="7423" width="14.140625" customWidth="1"/>
    <col min="7425" max="7425" width="13" customWidth="1"/>
    <col min="7427" max="7427" width="13.5703125" customWidth="1"/>
    <col min="7428" max="7428" width="19.42578125" customWidth="1"/>
    <col min="7429" max="7429" width="6.5703125" customWidth="1"/>
    <col min="7430" max="7430" width="16.28515625" customWidth="1"/>
    <col min="7431" max="7431" width="12.140625" customWidth="1"/>
    <col min="7432" max="7432" width="8.7109375" customWidth="1"/>
    <col min="7433" max="7435" width="12.140625" customWidth="1"/>
    <col min="7437" max="7437" width="10.42578125" customWidth="1"/>
    <col min="7438" max="7438" width="13.5703125" customWidth="1"/>
    <col min="7450" max="7450" width="6.5703125" customWidth="1"/>
    <col min="7451" max="7451" width="11.140625" customWidth="1"/>
    <col min="7452" max="7452" width="12.7109375" customWidth="1"/>
    <col min="7453" max="7453" width="10.7109375" customWidth="1"/>
    <col min="7458" max="7458" width="6.5703125" customWidth="1"/>
    <col min="7462" max="7462" width="0.5703125" customWidth="1"/>
    <col min="7463" max="7463" width="15.28515625" customWidth="1"/>
    <col min="7464" max="7464" width="12.7109375" customWidth="1"/>
    <col min="7465" max="7465" width="12.85546875" customWidth="1"/>
    <col min="7466" max="7466" width="12.28515625" customWidth="1"/>
    <col min="7467" max="7467" width="11.7109375" customWidth="1"/>
    <col min="7468" max="7468" width="11.85546875" customWidth="1"/>
    <col min="7475" max="7475" width="5.42578125" customWidth="1"/>
    <col min="7477" max="7477" width="12.85546875" customWidth="1"/>
    <col min="7478" max="7478" width="12.7109375" customWidth="1"/>
    <col min="7479" max="7479" width="10.7109375" bestFit="1" customWidth="1"/>
    <col min="7672" max="7672" width="8.42578125" customWidth="1"/>
    <col min="7673" max="7673" width="15.42578125" customWidth="1"/>
    <col min="7674" max="7674" width="11.5703125" customWidth="1"/>
    <col min="7676" max="7676" width="25.7109375" customWidth="1"/>
    <col min="7677" max="7677" width="11.28515625" customWidth="1"/>
    <col min="7678" max="7678" width="12" customWidth="1"/>
    <col min="7679" max="7679" width="14.140625" customWidth="1"/>
    <col min="7681" max="7681" width="13" customWidth="1"/>
    <col min="7683" max="7683" width="13.5703125" customWidth="1"/>
    <col min="7684" max="7684" width="19.42578125" customWidth="1"/>
    <col min="7685" max="7685" width="6.5703125" customWidth="1"/>
    <col min="7686" max="7686" width="16.28515625" customWidth="1"/>
    <col min="7687" max="7687" width="12.140625" customWidth="1"/>
    <col min="7688" max="7688" width="8.7109375" customWidth="1"/>
    <col min="7689" max="7691" width="12.140625" customWidth="1"/>
    <col min="7693" max="7693" width="10.42578125" customWidth="1"/>
    <col min="7694" max="7694" width="13.5703125" customWidth="1"/>
    <col min="7706" max="7706" width="6.5703125" customWidth="1"/>
    <col min="7707" max="7707" width="11.140625" customWidth="1"/>
    <col min="7708" max="7708" width="12.7109375" customWidth="1"/>
    <col min="7709" max="7709" width="10.7109375" customWidth="1"/>
    <col min="7714" max="7714" width="6.5703125" customWidth="1"/>
    <col min="7718" max="7718" width="0.5703125" customWidth="1"/>
    <col min="7719" max="7719" width="15.28515625" customWidth="1"/>
    <col min="7720" max="7720" width="12.7109375" customWidth="1"/>
    <col min="7721" max="7721" width="12.85546875" customWidth="1"/>
    <col min="7722" max="7722" width="12.28515625" customWidth="1"/>
    <col min="7723" max="7723" width="11.7109375" customWidth="1"/>
    <col min="7724" max="7724" width="11.85546875" customWidth="1"/>
    <col min="7731" max="7731" width="5.42578125" customWidth="1"/>
    <col min="7733" max="7733" width="12.85546875" customWidth="1"/>
    <col min="7734" max="7734" width="12.7109375" customWidth="1"/>
    <col min="7735" max="7735" width="10.7109375" bestFit="1" customWidth="1"/>
    <col min="7928" max="7928" width="8.42578125" customWidth="1"/>
    <col min="7929" max="7929" width="15.42578125" customWidth="1"/>
    <col min="7930" max="7930" width="11.5703125" customWidth="1"/>
    <col min="7932" max="7932" width="25.7109375" customWidth="1"/>
    <col min="7933" max="7933" width="11.28515625" customWidth="1"/>
    <col min="7934" max="7934" width="12" customWidth="1"/>
    <col min="7935" max="7935" width="14.140625" customWidth="1"/>
    <col min="7937" max="7937" width="13" customWidth="1"/>
    <col min="7939" max="7939" width="13.5703125" customWidth="1"/>
    <col min="7940" max="7940" width="19.42578125" customWidth="1"/>
    <col min="7941" max="7941" width="6.5703125" customWidth="1"/>
    <col min="7942" max="7942" width="16.28515625" customWidth="1"/>
    <col min="7943" max="7943" width="12.140625" customWidth="1"/>
    <col min="7944" max="7944" width="8.7109375" customWidth="1"/>
    <col min="7945" max="7947" width="12.140625" customWidth="1"/>
    <col min="7949" max="7949" width="10.42578125" customWidth="1"/>
    <col min="7950" max="7950" width="13.5703125" customWidth="1"/>
    <col min="7962" max="7962" width="6.5703125" customWidth="1"/>
    <col min="7963" max="7963" width="11.140625" customWidth="1"/>
    <col min="7964" max="7964" width="12.7109375" customWidth="1"/>
    <col min="7965" max="7965" width="10.7109375" customWidth="1"/>
    <col min="7970" max="7970" width="6.5703125" customWidth="1"/>
    <col min="7974" max="7974" width="0.5703125" customWidth="1"/>
    <col min="7975" max="7975" width="15.28515625" customWidth="1"/>
    <col min="7976" max="7976" width="12.7109375" customWidth="1"/>
    <col min="7977" max="7977" width="12.85546875" customWidth="1"/>
    <col min="7978" max="7978" width="12.28515625" customWidth="1"/>
    <col min="7979" max="7979" width="11.7109375" customWidth="1"/>
    <col min="7980" max="7980" width="11.85546875" customWidth="1"/>
    <col min="7987" max="7987" width="5.42578125" customWidth="1"/>
    <col min="7989" max="7989" width="12.85546875" customWidth="1"/>
    <col min="7990" max="7990" width="12.7109375" customWidth="1"/>
    <col min="7991" max="7991" width="10.7109375" bestFit="1" customWidth="1"/>
    <col min="8184" max="8184" width="8.42578125" customWidth="1"/>
    <col min="8185" max="8185" width="15.42578125" customWidth="1"/>
    <col min="8186" max="8186" width="11.5703125" customWidth="1"/>
    <col min="8188" max="8188" width="25.7109375" customWidth="1"/>
    <col min="8189" max="8189" width="11.28515625" customWidth="1"/>
    <col min="8190" max="8190" width="12" customWidth="1"/>
    <col min="8191" max="8191" width="14.140625" customWidth="1"/>
    <col min="8193" max="8193" width="13" customWidth="1"/>
    <col min="8195" max="8195" width="13.5703125" customWidth="1"/>
    <col min="8196" max="8196" width="19.42578125" customWidth="1"/>
    <col min="8197" max="8197" width="6.5703125" customWidth="1"/>
    <col min="8198" max="8198" width="16.28515625" customWidth="1"/>
    <col min="8199" max="8199" width="12.140625" customWidth="1"/>
    <col min="8200" max="8200" width="8.7109375" customWidth="1"/>
    <col min="8201" max="8203" width="12.140625" customWidth="1"/>
    <col min="8205" max="8205" width="10.42578125" customWidth="1"/>
    <col min="8206" max="8206" width="13.5703125" customWidth="1"/>
    <col min="8218" max="8218" width="6.5703125" customWidth="1"/>
    <col min="8219" max="8219" width="11.140625" customWidth="1"/>
    <col min="8220" max="8220" width="12.7109375" customWidth="1"/>
    <col min="8221" max="8221" width="10.7109375" customWidth="1"/>
    <col min="8226" max="8226" width="6.5703125" customWidth="1"/>
    <col min="8230" max="8230" width="0.5703125" customWidth="1"/>
    <col min="8231" max="8231" width="15.28515625" customWidth="1"/>
    <col min="8232" max="8232" width="12.7109375" customWidth="1"/>
    <col min="8233" max="8233" width="12.85546875" customWidth="1"/>
    <col min="8234" max="8234" width="12.28515625" customWidth="1"/>
    <col min="8235" max="8235" width="11.7109375" customWidth="1"/>
    <col min="8236" max="8236" width="11.85546875" customWidth="1"/>
    <col min="8243" max="8243" width="5.42578125" customWidth="1"/>
    <col min="8245" max="8245" width="12.85546875" customWidth="1"/>
    <col min="8246" max="8246" width="12.7109375" customWidth="1"/>
    <col min="8247" max="8247" width="10.7109375" bestFit="1" customWidth="1"/>
    <col min="8440" max="8440" width="8.42578125" customWidth="1"/>
    <col min="8441" max="8441" width="15.42578125" customWidth="1"/>
    <col min="8442" max="8442" width="11.5703125" customWidth="1"/>
    <col min="8444" max="8444" width="25.7109375" customWidth="1"/>
    <col min="8445" max="8445" width="11.28515625" customWidth="1"/>
    <col min="8446" max="8446" width="12" customWidth="1"/>
    <col min="8447" max="8447" width="14.140625" customWidth="1"/>
    <col min="8449" max="8449" width="13" customWidth="1"/>
    <col min="8451" max="8451" width="13.5703125" customWidth="1"/>
    <col min="8452" max="8452" width="19.42578125" customWidth="1"/>
    <col min="8453" max="8453" width="6.5703125" customWidth="1"/>
    <col min="8454" max="8454" width="16.28515625" customWidth="1"/>
    <col min="8455" max="8455" width="12.140625" customWidth="1"/>
    <col min="8456" max="8456" width="8.7109375" customWidth="1"/>
    <col min="8457" max="8459" width="12.140625" customWidth="1"/>
    <col min="8461" max="8461" width="10.42578125" customWidth="1"/>
    <col min="8462" max="8462" width="13.5703125" customWidth="1"/>
    <col min="8474" max="8474" width="6.5703125" customWidth="1"/>
    <col min="8475" max="8475" width="11.140625" customWidth="1"/>
    <col min="8476" max="8476" width="12.7109375" customWidth="1"/>
    <col min="8477" max="8477" width="10.7109375" customWidth="1"/>
    <col min="8482" max="8482" width="6.5703125" customWidth="1"/>
    <col min="8486" max="8486" width="0.5703125" customWidth="1"/>
    <col min="8487" max="8487" width="15.28515625" customWidth="1"/>
    <col min="8488" max="8488" width="12.7109375" customWidth="1"/>
    <col min="8489" max="8489" width="12.85546875" customWidth="1"/>
    <col min="8490" max="8490" width="12.28515625" customWidth="1"/>
    <col min="8491" max="8491" width="11.7109375" customWidth="1"/>
    <col min="8492" max="8492" width="11.85546875" customWidth="1"/>
    <col min="8499" max="8499" width="5.42578125" customWidth="1"/>
    <col min="8501" max="8501" width="12.85546875" customWidth="1"/>
    <col min="8502" max="8502" width="12.7109375" customWidth="1"/>
    <col min="8503" max="8503" width="10.7109375" bestFit="1" customWidth="1"/>
    <col min="8696" max="8696" width="8.42578125" customWidth="1"/>
    <col min="8697" max="8697" width="15.42578125" customWidth="1"/>
    <col min="8698" max="8698" width="11.5703125" customWidth="1"/>
    <col min="8700" max="8700" width="25.7109375" customWidth="1"/>
    <col min="8701" max="8701" width="11.28515625" customWidth="1"/>
    <col min="8702" max="8702" width="12" customWidth="1"/>
    <col min="8703" max="8703" width="14.140625" customWidth="1"/>
    <col min="8705" max="8705" width="13" customWidth="1"/>
    <col min="8707" max="8707" width="13.5703125" customWidth="1"/>
    <col min="8708" max="8708" width="19.42578125" customWidth="1"/>
    <col min="8709" max="8709" width="6.5703125" customWidth="1"/>
    <col min="8710" max="8710" width="16.28515625" customWidth="1"/>
    <col min="8711" max="8711" width="12.140625" customWidth="1"/>
    <col min="8712" max="8712" width="8.7109375" customWidth="1"/>
    <col min="8713" max="8715" width="12.140625" customWidth="1"/>
    <col min="8717" max="8717" width="10.42578125" customWidth="1"/>
    <col min="8718" max="8718" width="13.5703125" customWidth="1"/>
    <col min="8730" max="8730" width="6.5703125" customWidth="1"/>
    <col min="8731" max="8731" width="11.140625" customWidth="1"/>
    <col min="8732" max="8732" width="12.7109375" customWidth="1"/>
    <col min="8733" max="8733" width="10.7109375" customWidth="1"/>
    <col min="8738" max="8738" width="6.5703125" customWidth="1"/>
    <col min="8742" max="8742" width="0.5703125" customWidth="1"/>
    <col min="8743" max="8743" width="15.28515625" customWidth="1"/>
    <col min="8744" max="8744" width="12.7109375" customWidth="1"/>
    <col min="8745" max="8745" width="12.85546875" customWidth="1"/>
    <col min="8746" max="8746" width="12.28515625" customWidth="1"/>
    <col min="8747" max="8747" width="11.7109375" customWidth="1"/>
    <col min="8748" max="8748" width="11.85546875" customWidth="1"/>
    <col min="8755" max="8755" width="5.42578125" customWidth="1"/>
    <col min="8757" max="8757" width="12.85546875" customWidth="1"/>
    <col min="8758" max="8758" width="12.7109375" customWidth="1"/>
    <col min="8759" max="8759" width="10.7109375" bestFit="1" customWidth="1"/>
    <col min="8952" max="8952" width="8.42578125" customWidth="1"/>
    <col min="8953" max="8953" width="15.42578125" customWidth="1"/>
    <col min="8954" max="8954" width="11.5703125" customWidth="1"/>
    <col min="8956" max="8956" width="25.7109375" customWidth="1"/>
    <col min="8957" max="8957" width="11.28515625" customWidth="1"/>
    <col min="8958" max="8958" width="12" customWidth="1"/>
    <col min="8959" max="8959" width="14.140625" customWidth="1"/>
    <col min="8961" max="8961" width="13" customWidth="1"/>
    <col min="8963" max="8963" width="13.5703125" customWidth="1"/>
    <col min="8964" max="8964" width="19.42578125" customWidth="1"/>
    <col min="8965" max="8965" width="6.5703125" customWidth="1"/>
    <col min="8966" max="8966" width="16.28515625" customWidth="1"/>
    <col min="8967" max="8967" width="12.140625" customWidth="1"/>
    <col min="8968" max="8968" width="8.7109375" customWidth="1"/>
    <col min="8969" max="8971" width="12.140625" customWidth="1"/>
    <col min="8973" max="8973" width="10.42578125" customWidth="1"/>
    <col min="8974" max="8974" width="13.5703125" customWidth="1"/>
    <col min="8986" max="8986" width="6.5703125" customWidth="1"/>
    <col min="8987" max="8987" width="11.140625" customWidth="1"/>
    <col min="8988" max="8988" width="12.7109375" customWidth="1"/>
    <col min="8989" max="8989" width="10.7109375" customWidth="1"/>
    <col min="8994" max="8994" width="6.5703125" customWidth="1"/>
    <col min="8998" max="8998" width="0.5703125" customWidth="1"/>
    <col min="8999" max="8999" width="15.28515625" customWidth="1"/>
    <col min="9000" max="9000" width="12.7109375" customWidth="1"/>
    <col min="9001" max="9001" width="12.85546875" customWidth="1"/>
    <col min="9002" max="9002" width="12.28515625" customWidth="1"/>
    <col min="9003" max="9003" width="11.7109375" customWidth="1"/>
    <col min="9004" max="9004" width="11.85546875" customWidth="1"/>
    <col min="9011" max="9011" width="5.42578125" customWidth="1"/>
    <col min="9013" max="9013" width="12.85546875" customWidth="1"/>
    <col min="9014" max="9014" width="12.7109375" customWidth="1"/>
    <col min="9015" max="9015" width="10.7109375" bestFit="1" customWidth="1"/>
    <col min="9208" max="9208" width="8.42578125" customWidth="1"/>
    <col min="9209" max="9209" width="15.42578125" customWidth="1"/>
    <col min="9210" max="9210" width="11.5703125" customWidth="1"/>
    <col min="9212" max="9212" width="25.7109375" customWidth="1"/>
    <col min="9213" max="9213" width="11.28515625" customWidth="1"/>
    <col min="9214" max="9214" width="12" customWidth="1"/>
    <col min="9215" max="9215" width="14.140625" customWidth="1"/>
    <col min="9217" max="9217" width="13" customWidth="1"/>
    <col min="9219" max="9219" width="13.5703125" customWidth="1"/>
    <col min="9220" max="9220" width="19.42578125" customWidth="1"/>
    <col min="9221" max="9221" width="6.5703125" customWidth="1"/>
    <col min="9222" max="9222" width="16.28515625" customWidth="1"/>
    <col min="9223" max="9223" width="12.140625" customWidth="1"/>
    <col min="9224" max="9224" width="8.7109375" customWidth="1"/>
    <col min="9225" max="9227" width="12.140625" customWidth="1"/>
    <col min="9229" max="9229" width="10.42578125" customWidth="1"/>
    <col min="9230" max="9230" width="13.5703125" customWidth="1"/>
    <col min="9242" max="9242" width="6.5703125" customWidth="1"/>
    <col min="9243" max="9243" width="11.140625" customWidth="1"/>
    <col min="9244" max="9244" width="12.7109375" customWidth="1"/>
    <col min="9245" max="9245" width="10.7109375" customWidth="1"/>
    <col min="9250" max="9250" width="6.5703125" customWidth="1"/>
    <col min="9254" max="9254" width="0.5703125" customWidth="1"/>
    <col min="9255" max="9255" width="15.28515625" customWidth="1"/>
    <col min="9256" max="9256" width="12.7109375" customWidth="1"/>
    <col min="9257" max="9257" width="12.85546875" customWidth="1"/>
    <col min="9258" max="9258" width="12.28515625" customWidth="1"/>
    <col min="9259" max="9259" width="11.7109375" customWidth="1"/>
    <col min="9260" max="9260" width="11.85546875" customWidth="1"/>
    <col min="9267" max="9267" width="5.42578125" customWidth="1"/>
    <col min="9269" max="9269" width="12.85546875" customWidth="1"/>
    <col min="9270" max="9270" width="12.7109375" customWidth="1"/>
    <col min="9271" max="9271" width="10.7109375" bestFit="1" customWidth="1"/>
    <col min="9464" max="9464" width="8.42578125" customWidth="1"/>
    <col min="9465" max="9465" width="15.42578125" customWidth="1"/>
    <col min="9466" max="9466" width="11.5703125" customWidth="1"/>
    <col min="9468" max="9468" width="25.7109375" customWidth="1"/>
    <col min="9469" max="9469" width="11.28515625" customWidth="1"/>
    <col min="9470" max="9470" width="12" customWidth="1"/>
    <col min="9471" max="9471" width="14.140625" customWidth="1"/>
    <col min="9473" max="9473" width="13" customWidth="1"/>
    <col min="9475" max="9475" width="13.5703125" customWidth="1"/>
    <col min="9476" max="9476" width="19.42578125" customWidth="1"/>
    <col min="9477" max="9477" width="6.5703125" customWidth="1"/>
    <col min="9478" max="9478" width="16.28515625" customWidth="1"/>
    <col min="9479" max="9479" width="12.140625" customWidth="1"/>
    <col min="9480" max="9480" width="8.7109375" customWidth="1"/>
    <col min="9481" max="9483" width="12.140625" customWidth="1"/>
    <col min="9485" max="9485" width="10.42578125" customWidth="1"/>
    <col min="9486" max="9486" width="13.5703125" customWidth="1"/>
    <col min="9498" max="9498" width="6.5703125" customWidth="1"/>
    <col min="9499" max="9499" width="11.140625" customWidth="1"/>
    <col min="9500" max="9500" width="12.7109375" customWidth="1"/>
    <col min="9501" max="9501" width="10.7109375" customWidth="1"/>
    <col min="9506" max="9506" width="6.5703125" customWidth="1"/>
    <col min="9510" max="9510" width="0.5703125" customWidth="1"/>
    <col min="9511" max="9511" width="15.28515625" customWidth="1"/>
    <col min="9512" max="9512" width="12.7109375" customWidth="1"/>
    <col min="9513" max="9513" width="12.85546875" customWidth="1"/>
    <col min="9514" max="9514" width="12.28515625" customWidth="1"/>
    <col min="9515" max="9515" width="11.7109375" customWidth="1"/>
    <col min="9516" max="9516" width="11.85546875" customWidth="1"/>
    <col min="9523" max="9523" width="5.42578125" customWidth="1"/>
    <col min="9525" max="9525" width="12.85546875" customWidth="1"/>
    <col min="9526" max="9526" width="12.7109375" customWidth="1"/>
    <col min="9527" max="9527" width="10.7109375" bestFit="1" customWidth="1"/>
    <col min="9720" max="9720" width="8.42578125" customWidth="1"/>
    <col min="9721" max="9721" width="15.42578125" customWidth="1"/>
    <col min="9722" max="9722" width="11.5703125" customWidth="1"/>
    <col min="9724" max="9724" width="25.7109375" customWidth="1"/>
    <col min="9725" max="9725" width="11.28515625" customWidth="1"/>
    <col min="9726" max="9726" width="12" customWidth="1"/>
    <col min="9727" max="9727" width="14.140625" customWidth="1"/>
    <col min="9729" max="9729" width="13" customWidth="1"/>
    <col min="9731" max="9731" width="13.5703125" customWidth="1"/>
    <col min="9732" max="9732" width="19.42578125" customWidth="1"/>
    <col min="9733" max="9733" width="6.5703125" customWidth="1"/>
    <col min="9734" max="9734" width="16.28515625" customWidth="1"/>
    <col min="9735" max="9735" width="12.140625" customWidth="1"/>
    <col min="9736" max="9736" width="8.7109375" customWidth="1"/>
    <col min="9737" max="9739" width="12.140625" customWidth="1"/>
    <col min="9741" max="9741" width="10.42578125" customWidth="1"/>
    <col min="9742" max="9742" width="13.5703125" customWidth="1"/>
    <col min="9754" max="9754" width="6.5703125" customWidth="1"/>
    <col min="9755" max="9755" width="11.140625" customWidth="1"/>
    <col min="9756" max="9756" width="12.7109375" customWidth="1"/>
    <col min="9757" max="9757" width="10.7109375" customWidth="1"/>
    <col min="9762" max="9762" width="6.5703125" customWidth="1"/>
    <col min="9766" max="9766" width="0.5703125" customWidth="1"/>
    <col min="9767" max="9767" width="15.28515625" customWidth="1"/>
    <col min="9768" max="9768" width="12.7109375" customWidth="1"/>
    <col min="9769" max="9769" width="12.85546875" customWidth="1"/>
    <col min="9770" max="9770" width="12.28515625" customWidth="1"/>
    <col min="9771" max="9771" width="11.7109375" customWidth="1"/>
    <col min="9772" max="9772" width="11.85546875" customWidth="1"/>
    <col min="9779" max="9779" width="5.42578125" customWidth="1"/>
    <col min="9781" max="9781" width="12.85546875" customWidth="1"/>
    <col min="9782" max="9782" width="12.7109375" customWidth="1"/>
    <col min="9783" max="9783" width="10.7109375" bestFit="1" customWidth="1"/>
    <col min="9976" max="9976" width="8.42578125" customWidth="1"/>
    <col min="9977" max="9977" width="15.42578125" customWidth="1"/>
    <col min="9978" max="9978" width="11.5703125" customWidth="1"/>
    <col min="9980" max="9980" width="25.7109375" customWidth="1"/>
    <col min="9981" max="9981" width="11.28515625" customWidth="1"/>
    <col min="9982" max="9982" width="12" customWidth="1"/>
    <col min="9983" max="9983" width="14.140625" customWidth="1"/>
    <col min="9985" max="9985" width="13" customWidth="1"/>
    <col min="9987" max="9987" width="13.5703125" customWidth="1"/>
    <col min="9988" max="9988" width="19.42578125" customWidth="1"/>
    <col min="9989" max="9989" width="6.5703125" customWidth="1"/>
    <col min="9990" max="9990" width="16.28515625" customWidth="1"/>
    <col min="9991" max="9991" width="12.140625" customWidth="1"/>
    <col min="9992" max="9992" width="8.7109375" customWidth="1"/>
    <col min="9993" max="9995" width="12.140625" customWidth="1"/>
    <col min="9997" max="9997" width="10.42578125" customWidth="1"/>
    <col min="9998" max="9998" width="13.5703125" customWidth="1"/>
    <col min="10010" max="10010" width="6.5703125" customWidth="1"/>
    <col min="10011" max="10011" width="11.140625" customWidth="1"/>
    <col min="10012" max="10012" width="12.7109375" customWidth="1"/>
    <col min="10013" max="10013" width="10.7109375" customWidth="1"/>
    <col min="10018" max="10018" width="6.5703125" customWidth="1"/>
    <col min="10022" max="10022" width="0.5703125" customWidth="1"/>
    <col min="10023" max="10023" width="15.28515625" customWidth="1"/>
    <col min="10024" max="10024" width="12.7109375" customWidth="1"/>
    <col min="10025" max="10025" width="12.85546875" customWidth="1"/>
    <col min="10026" max="10026" width="12.28515625" customWidth="1"/>
    <col min="10027" max="10027" width="11.7109375" customWidth="1"/>
    <col min="10028" max="10028" width="11.85546875" customWidth="1"/>
    <col min="10035" max="10035" width="5.42578125" customWidth="1"/>
    <col min="10037" max="10037" width="12.85546875" customWidth="1"/>
    <col min="10038" max="10038" width="12.7109375" customWidth="1"/>
    <col min="10039" max="10039" width="10.7109375" bestFit="1" customWidth="1"/>
    <col min="10232" max="10232" width="8.42578125" customWidth="1"/>
    <col min="10233" max="10233" width="15.42578125" customWidth="1"/>
    <col min="10234" max="10234" width="11.5703125" customWidth="1"/>
    <col min="10236" max="10236" width="25.7109375" customWidth="1"/>
    <col min="10237" max="10237" width="11.28515625" customWidth="1"/>
    <col min="10238" max="10238" width="12" customWidth="1"/>
    <col min="10239" max="10239" width="14.140625" customWidth="1"/>
    <col min="10241" max="10241" width="13" customWidth="1"/>
    <col min="10243" max="10243" width="13.5703125" customWidth="1"/>
    <col min="10244" max="10244" width="19.42578125" customWidth="1"/>
    <col min="10245" max="10245" width="6.5703125" customWidth="1"/>
    <col min="10246" max="10246" width="16.28515625" customWidth="1"/>
    <col min="10247" max="10247" width="12.140625" customWidth="1"/>
    <col min="10248" max="10248" width="8.7109375" customWidth="1"/>
    <col min="10249" max="10251" width="12.140625" customWidth="1"/>
    <col min="10253" max="10253" width="10.42578125" customWidth="1"/>
    <col min="10254" max="10254" width="13.5703125" customWidth="1"/>
    <col min="10266" max="10266" width="6.5703125" customWidth="1"/>
    <col min="10267" max="10267" width="11.140625" customWidth="1"/>
    <col min="10268" max="10268" width="12.7109375" customWidth="1"/>
    <col min="10269" max="10269" width="10.7109375" customWidth="1"/>
    <col min="10274" max="10274" width="6.5703125" customWidth="1"/>
    <col min="10278" max="10278" width="0.5703125" customWidth="1"/>
    <col min="10279" max="10279" width="15.28515625" customWidth="1"/>
    <col min="10280" max="10280" width="12.7109375" customWidth="1"/>
    <col min="10281" max="10281" width="12.85546875" customWidth="1"/>
    <col min="10282" max="10282" width="12.28515625" customWidth="1"/>
    <col min="10283" max="10283" width="11.7109375" customWidth="1"/>
    <col min="10284" max="10284" width="11.85546875" customWidth="1"/>
    <col min="10291" max="10291" width="5.42578125" customWidth="1"/>
    <col min="10293" max="10293" width="12.85546875" customWidth="1"/>
    <col min="10294" max="10294" width="12.7109375" customWidth="1"/>
    <col min="10295" max="10295" width="10.7109375" bestFit="1" customWidth="1"/>
    <col min="10488" max="10488" width="8.42578125" customWidth="1"/>
    <col min="10489" max="10489" width="15.42578125" customWidth="1"/>
    <col min="10490" max="10490" width="11.5703125" customWidth="1"/>
    <col min="10492" max="10492" width="25.7109375" customWidth="1"/>
    <col min="10493" max="10493" width="11.28515625" customWidth="1"/>
    <col min="10494" max="10494" width="12" customWidth="1"/>
    <col min="10495" max="10495" width="14.140625" customWidth="1"/>
    <col min="10497" max="10497" width="13" customWidth="1"/>
    <col min="10499" max="10499" width="13.5703125" customWidth="1"/>
    <col min="10500" max="10500" width="19.42578125" customWidth="1"/>
    <col min="10501" max="10501" width="6.5703125" customWidth="1"/>
    <col min="10502" max="10502" width="16.28515625" customWidth="1"/>
    <col min="10503" max="10503" width="12.140625" customWidth="1"/>
    <col min="10504" max="10504" width="8.7109375" customWidth="1"/>
    <col min="10505" max="10507" width="12.140625" customWidth="1"/>
    <col min="10509" max="10509" width="10.42578125" customWidth="1"/>
    <col min="10510" max="10510" width="13.5703125" customWidth="1"/>
    <col min="10522" max="10522" width="6.5703125" customWidth="1"/>
    <col min="10523" max="10523" width="11.140625" customWidth="1"/>
    <col min="10524" max="10524" width="12.7109375" customWidth="1"/>
    <col min="10525" max="10525" width="10.7109375" customWidth="1"/>
    <col min="10530" max="10530" width="6.5703125" customWidth="1"/>
    <col min="10534" max="10534" width="0.5703125" customWidth="1"/>
    <col min="10535" max="10535" width="15.28515625" customWidth="1"/>
    <col min="10536" max="10536" width="12.7109375" customWidth="1"/>
    <col min="10537" max="10537" width="12.85546875" customWidth="1"/>
    <col min="10538" max="10538" width="12.28515625" customWidth="1"/>
    <col min="10539" max="10539" width="11.7109375" customWidth="1"/>
    <col min="10540" max="10540" width="11.85546875" customWidth="1"/>
    <col min="10547" max="10547" width="5.42578125" customWidth="1"/>
    <col min="10549" max="10549" width="12.85546875" customWidth="1"/>
    <col min="10550" max="10550" width="12.7109375" customWidth="1"/>
    <col min="10551" max="10551" width="10.7109375" bestFit="1" customWidth="1"/>
    <col min="10744" max="10744" width="8.42578125" customWidth="1"/>
    <col min="10745" max="10745" width="15.42578125" customWidth="1"/>
    <col min="10746" max="10746" width="11.5703125" customWidth="1"/>
    <col min="10748" max="10748" width="25.7109375" customWidth="1"/>
    <col min="10749" max="10749" width="11.28515625" customWidth="1"/>
    <col min="10750" max="10750" width="12" customWidth="1"/>
    <col min="10751" max="10751" width="14.140625" customWidth="1"/>
    <col min="10753" max="10753" width="13" customWidth="1"/>
    <col min="10755" max="10755" width="13.5703125" customWidth="1"/>
    <col min="10756" max="10756" width="19.42578125" customWidth="1"/>
    <col min="10757" max="10757" width="6.5703125" customWidth="1"/>
    <col min="10758" max="10758" width="16.28515625" customWidth="1"/>
    <col min="10759" max="10759" width="12.140625" customWidth="1"/>
    <col min="10760" max="10760" width="8.7109375" customWidth="1"/>
    <col min="10761" max="10763" width="12.140625" customWidth="1"/>
    <col min="10765" max="10765" width="10.42578125" customWidth="1"/>
    <col min="10766" max="10766" width="13.5703125" customWidth="1"/>
    <col min="10778" max="10778" width="6.5703125" customWidth="1"/>
    <col min="10779" max="10779" width="11.140625" customWidth="1"/>
    <col min="10780" max="10780" width="12.7109375" customWidth="1"/>
    <col min="10781" max="10781" width="10.7109375" customWidth="1"/>
    <col min="10786" max="10786" width="6.5703125" customWidth="1"/>
    <col min="10790" max="10790" width="0.5703125" customWidth="1"/>
    <col min="10791" max="10791" width="15.28515625" customWidth="1"/>
    <col min="10792" max="10792" width="12.7109375" customWidth="1"/>
    <col min="10793" max="10793" width="12.85546875" customWidth="1"/>
    <col min="10794" max="10794" width="12.28515625" customWidth="1"/>
    <col min="10795" max="10795" width="11.7109375" customWidth="1"/>
    <col min="10796" max="10796" width="11.85546875" customWidth="1"/>
    <col min="10803" max="10803" width="5.42578125" customWidth="1"/>
    <col min="10805" max="10805" width="12.85546875" customWidth="1"/>
    <col min="10806" max="10806" width="12.7109375" customWidth="1"/>
    <col min="10807" max="10807" width="10.7109375" bestFit="1" customWidth="1"/>
    <col min="11000" max="11000" width="8.42578125" customWidth="1"/>
    <col min="11001" max="11001" width="15.42578125" customWidth="1"/>
    <col min="11002" max="11002" width="11.5703125" customWidth="1"/>
    <col min="11004" max="11004" width="25.7109375" customWidth="1"/>
    <col min="11005" max="11005" width="11.28515625" customWidth="1"/>
    <col min="11006" max="11006" width="12" customWidth="1"/>
    <col min="11007" max="11007" width="14.140625" customWidth="1"/>
    <col min="11009" max="11009" width="13" customWidth="1"/>
    <col min="11011" max="11011" width="13.5703125" customWidth="1"/>
    <col min="11012" max="11012" width="19.42578125" customWidth="1"/>
    <col min="11013" max="11013" width="6.5703125" customWidth="1"/>
    <col min="11014" max="11014" width="16.28515625" customWidth="1"/>
    <col min="11015" max="11015" width="12.140625" customWidth="1"/>
    <col min="11016" max="11016" width="8.7109375" customWidth="1"/>
    <col min="11017" max="11019" width="12.140625" customWidth="1"/>
    <col min="11021" max="11021" width="10.42578125" customWidth="1"/>
    <col min="11022" max="11022" width="13.5703125" customWidth="1"/>
    <col min="11034" max="11034" width="6.5703125" customWidth="1"/>
    <col min="11035" max="11035" width="11.140625" customWidth="1"/>
    <col min="11036" max="11036" width="12.7109375" customWidth="1"/>
    <col min="11037" max="11037" width="10.7109375" customWidth="1"/>
    <col min="11042" max="11042" width="6.5703125" customWidth="1"/>
    <col min="11046" max="11046" width="0.5703125" customWidth="1"/>
    <col min="11047" max="11047" width="15.28515625" customWidth="1"/>
    <col min="11048" max="11048" width="12.7109375" customWidth="1"/>
    <col min="11049" max="11049" width="12.85546875" customWidth="1"/>
    <col min="11050" max="11050" width="12.28515625" customWidth="1"/>
    <col min="11051" max="11051" width="11.7109375" customWidth="1"/>
    <col min="11052" max="11052" width="11.85546875" customWidth="1"/>
    <col min="11059" max="11059" width="5.42578125" customWidth="1"/>
    <col min="11061" max="11061" width="12.85546875" customWidth="1"/>
    <col min="11062" max="11062" width="12.7109375" customWidth="1"/>
    <col min="11063" max="11063" width="10.7109375" bestFit="1" customWidth="1"/>
    <col min="11256" max="11256" width="8.42578125" customWidth="1"/>
    <col min="11257" max="11257" width="15.42578125" customWidth="1"/>
    <col min="11258" max="11258" width="11.5703125" customWidth="1"/>
    <col min="11260" max="11260" width="25.7109375" customWidth="1"/>
    <col min="11261" max="11261" width="11.28515625" customWidth="1"/>
    <col min="11262" max="11262" width="12" customWidth="1"/>
    <col min="11263" max="11263" width="14.140625" customWidth="1"/>
    <col min="11265" max="11265" width="13" customWidth="1"/>
    <col min="11267" max="11267" width="13.5703125" customWidth="1"/>
    <col min="11268" max="11268" width="19.42578125" customWidth="1"/>
    <col min="11269" max="11269" width="6.5703125" customWidth="1"/>
    <col min="11270" max="11270" width="16.28515625" customWidth="1"/>
    <col min="11271" max="11271" width="12.140625" customWidth="1"/>
    <col min="11272" max="11272" width="8.7109375" customWidth="1"/>
    <col min="11273" max="11275" width="12.140625" customWidth="1"/>
    <col min="11277" max="11277" width="10.42578125" customWidth="1"/>
    <col min="11278" max="11278" width="13.5703125" customWidth="1"/>
    <col min="11290" max="11290" width="6.5703125" customWidth="1"/>
    <col min="11291" max="11291" width="11.140625" customWidth="1"/>
    <col min="11292" max="11292" width="12.7109375" customWidth="1"/>
    <col min="11293" max="11293" width="10.7109375" customWidth="1"/>
    <col min="11298" max="11298" width="6.5703125" customWidth="1"/>
    <col min="11302" max="11302" width="0.5703125" customWidth="1"/>
    <col min="11303" max="11303" width="15.28515625" customWidth="1"/>
    <col min="11304" max="11304" width="12.7109375" customWidth="1"/>
    <col min="11305" max="11305" width="12.85546875" customWidth="1"/>
    <col min="11306" max="11306" width="12.28515625" customWidth="1"/>
    <col min="11307" max="11307" width="11.7109375" customWidth="1"/>
    <col min="11308" max="11308" width="11.85546875" customWidth="1"/>
    <col min="11315" max="11315" width="5.42578125" customWidth="1"/>
    <col min="11317" max="11317" width="12.85546875" customWidth="1"/>
    <col min="11318" max="11318" width="12.7109375" customWidth="1"/>
    <col min="11319" max="11319" width="10.7109375" bestFit="1" customWidth="1"/>
    <col min="11512" max="11512" width="8.42578125" customWidth="1"/>
    <col min="11513" max="11513" width="15.42578125" customWidth="1"/>
    <col min="11514" max="11514" width="11.5703125" customWidth="1"/>
    <col min="11516" max="11516" width="25.7109375" customWidth="1"/>
    <col min="11517" max="11517" width="11.28515625" customWidth="1"/>
    <col min="11518" max="11518" width="12" customWidth="1"/>
    <col min="11519" max="11519" width="14.140625" customWidth="1"/>
    <col min="11521" max="11521" width="13" customWidth="1"/>
    <col min="11523" max="11523" width="13.5703125" customWidth="1"/>
    <col min="11524" max="11524" width="19.42578125" customWidth="1"/>
    <col min="11525" max="11525" width="6.5703125" customWidth="1"/>
    <col min="11526" max="11526" width="16.28515625" customWidth="1"/>
    <col min="11527" max="11527" width="12.140625" customWidth="1"/>
    <col min="11528" max="11528" width="8.7109375" customWidth="1"/>
    <col min="11529" max="11531" width="12.140625" customWidth="1"/>
    <col min="11533" max="11533" width="10.42578125" customWidth="1"/>
    <col min="11534" max="11534" width="13.5703125" customWidth="1"/>
    <col min="11546" max="11546" width="6.5703125" customWidth="1"/>
    <col min="11547" max="11547" width="11.140625" customWidth="1"/>
    <col min="11548" max="11548" width="12.7109375" customWidth="1"/>
    <col min="11549" max="11549" width="10.7109375" customWidth="1"/>
    <col min="11554" max="11554" width="6.5703125" customWidth="1"/>
    <col min="11558" max="11558" width="0.5703125" customWidth="1"/>
    <col min="11559" max="11559" width="15.28515625" customWidth="1"/>
    <col min="11560" max="11560" width="12.7109375" customWidth="1"/>
    <col min="11561" max="11561" width="12.85546875" customWidth="1"/>
    <col min="11562" max="11562" width="12.28515625" customWidth="1"/>
    <col min="11563" max="11563" width="11.7109375" customWidth="1"/>
    <col min="11564" max="11564" width="11.85546875" customWidth="1"/>
    <col min="11571" max="11571" width="5.42578125" customWidth="1"/>
    <col min="11573" max="11573" width="12.85546875" customWidth="1"/>
    <col min="11574" max="11574" width="12.7109375" customWidth="1"/>
    <col min="11575" max="11575" width="10.7109375" bestFit="1" customWidth="1"/>
    <col min="11768" max="11768" width="8.42578125" customWidth="1"/>
    <col min="11769" max="11769" width="15.42578125" customWidth="1"/>
    <col min="11770" max="11770" width="11.5703125" customWidth="1"/>
    <col min="11772" max="11772" width="25.7109375" customWidth="1"/>
    <col min="11773" max="11773" width="11.28515625" customWidth="1"/>
    <col min="11774" max="11774" width="12" customWidth="1"/>
    <col min="11775" max="11775" width="14.140625" customWidth="1"/>
    <col min="11777" max="11777" width="13" customWidth="1"/>
    <col min="11779" max="11779" width="13.5703125" customWidth="1"/>
    <col min="11780" max="11780" width="19.42578125" customWidth="1"/>
    <col min="11781" max="11781" width="6.5703125" customWidth="1"/>
    <col min="11782" max="11782" width="16.28515625" customWidth="1"/>
    <col min="11783" max="11783" width="12.140625" customWidth="1"/>
    <col min="11784" max="11784" width="8.7109375" customWidth="1"/>
    <col min="11785" max="11787" width="12.140625" customWidth="1"/>
    <col min="11789" max="11789" width="10.42578125" customWidth="1"/>
    <col min="11790" max="11790" width="13.5703125" customWidth="1"/>
    <col min="11802" max="11802" width="6.5703125" customWidth="1"/>
    <col min="11803" max="11803" width="11.140625" customWidth="1"/>
    <col min="11804" max="11804" width="12.7109375" customWidth="1"/>
    <col min="11805" max="11805" width="10.7109375" customWidth="1"/>
    <col min="11810" max="11810" width="6.5703125" customWidth="1"/>
    <col min="11814" max="11814" width="0.5703125" customWidth="1"/>
    <col min="11815" max="11815" width="15.28515625" customWidth="1"/>
    <col min="11816" max="11816" width="12.7109375" customWidth="1"/>
    <col min="11817" max="11817" width="12.85546875" customWidth="1"/>
    <col min="11818" max="11818" width="12.28515625" customWidth="1"/>
    <col min="11819" max="11819" width="11.7109375" customWidth="1"/>
    <col min="11820" max="11820" width="11.85546875" customWidth="1"/>
    <col min="11827" max="11827" width="5.42578125" customWidth="1"/>
    <col min="11829" max="11829" width="12.85546875" customWidth="1"/>
    <col min="11830" max="11830" width="12.7109375" customWidth="1"/>
    <col min="11831" max="11831" width="10.7109375" bestFit="1" customWidth="1"/>
    <col min="12024" max="12024" width="8.42578125" customWidth="1"/>
    <col min="12025" max="12025" width="15.42578125" customWidth="1"/>
    <col min="12026" max="12026" width="11.5703125" customWidth="1"/>
    <col min="12028" max="12028" width="25.7109375" customWidth="1"/>
    <col min="12029" max="12029" width="11.28515625" customWidth="1"/>
    <col min="12030" max="12030" width="12" customWidth="1"/>
    <col min="12031" max="12031" width="14.140625" customWidth="1"/>
    <col min="12033" max="12033" width="13" customWidth="1"/>
    <col min="12035" max="12035" width="13.5703125" customWidth="1"/>
    <col min="12036" max="12036" width="19.42578125" customWidth="1"/>
    <col min="12037" max="12037" width="6.5703125" customWidth="1"/>
    <col min="12038" max="12038" width="16.28515625" customWidth="1"/>
    <col min="12039" max="12039" width="12.140625" customWidth="1"/>
    <col min="12040" max="12040" width="8.7109375" customWidth="1"/>
    <col min="12041" max="12043" width="12.140625" customWidth="1"/>
    <col min="12045" max="12045" width="10.42578125" customWidth="1"/>
    <col min="12046" max="12046" width="13.5703125" customWidth="1"/>
    <col min="12058" max="12058" width="6.5703125" customWidth="1"/>
    <col min="12059" max="12059" width="11.140625" customWidth="1"/>
    <col min="12060" max="12060" width="12.7109375" customWidth="1"/>
    <col min="12061" max="12061" width="10.7109375" customWidth="1"/>
    <col min="12066" max="12066" width="6.5703125" customWidth="1"/>
    <col min="12070" max="12070" width="0.5703125" customWidth="1"/>
    <col min="12071" max="12071" width="15.28515625" customWidth="1"/>
    <col min="12072" max="12072" width="12.7109375" customWidth="1"/>
    <col min="12073" max="12073" width="12.85546875" customWidth="1"/>
    <col min="12074" max="12074" width="12.28515625" customWidth="1"/>
    <col min="12075" max="12075" width="11.7109375" customWidth="1"/>
    <col min="12076" max="12076" width="11.85546875" customWidth="1"/>
    <col min="12083" max="12083" width="5.42578125" customWidth="1"/>
    <col min="12085" max="12085" width="12.85546875" customWidth="1"/>
    <col min="12086" max="12086" width="12.7109375" customWidth="1"/>
    <col min="12087" max="12087" width="10.7109375" bestFit="1" customWidth="1"/>
    <col min="12280" max="12280" width="8.42578125" customWidth="1"/>
    <col min="12281" max="12281" width="15.42578125" customWidth="1"/>
    <col min="12282" max="12282" width="11.5703125" customWidth="1"/>
    <col min="12284" max="12284" width="25.7109375" customWidth="1"/>
    <col min="12285" max="12285" width="11.28515625" customWidth="1"/>
    <col min="12286" max="12286" width="12" customWidth="1"/>
    <col min="12287" max="12287" width="14.140625" customWidth="1"/>
    <col min="12289" max="12289" width="13" customWidth="1"/>
    <col min="12291" max="12291" width="13.5703125" customWidth="1"/>
    <col min="12292" max="12292" width="19.42578125" customWidth="1"/>
    <col min="12293" max="12293" width="6.5703125" customWidth="1"/>
    <col min="12294" max="12294" width="16.28515625" customWidth="1"/>
    <col min="12295" max="12295" width="12.140625" customWidth="1"/>
    <col min="12296" max="12296" width="8.7109375" customWidth="1"/>
    <col min="12297" max="12299" width="12.140625" customWidth="1"/>
    <col min="12301" max="12301" width="10.42578125" customWidth="1"/>
    <col min="12302" max="12302" width="13.5703125" customWidth="1"/>
    <col min="12314" max="12314" width="6.5703125" customWidth="1"/>
    <col min="12315" max="12315" width="11.140625" customWidth="1"/>
    <col min="12316" max="12316" width="12.7109375" customWidth="1"/>
    <col min="12317" max="12317" width="10.7109375" customWidth="1"/>
    <col min="12322" max="12322" width="6.5703125" customWidth="1"/>
    <col min="12326" max="12326" width="0.5703125" customWidth="1"/>
    <col min="12327" max="12327" width="15.28515625" customWidth="1"/>
    <col min="12328" max="12328" width="12.7109375" customWidth="1"/>
    <col min="12329" max="12329" width="12.85546875" customWidth="1"/>
    <col min="12330" max="12330" width="12.28515625" customWidth="1"/>
    <col min="12331" max="12331" width="11.7109375" customWidth="1"/>
    <col min="12332" max="12332" width="11.85546875" customWidth="1"/>
    <col min="12339" max="12339" width="5.42578125" customWidth="1"/>
    <col min="12341" max="12341" width="12.85546875" customWidth="1"/>
    <col min="12342" max="12342" width="12.7109375" customWidth="1"/>
    <col min="12343" max="12343" width="10.7109375" bestFit="1" customWidth="1"/>
    <col min="12536" max="12536" width="8.42578125" customWidth="1"/>
    <col min="12537" max="12537" width="15.42578125" customWidth="1"/>
    <col min="12538" max="12538" width="11.5703125" customWidth="1"/>
    <col min="12540" max="12540" width="25.7109375" customWidth="1"/>
    <col min="12541" max="12541" width="11.28515625" customWidth="1"/>
    <col min="12542" max="12542" width="12" customWidth="1"/>
    <col min="12543" max="12543" width="14.140625" customWidth="1"/>
    <col min="12545" max="12545" width="13" customWidth="1"/>
    <col min="12547" max="12547" width="13.5703125" customWidth="1"/>
    <col min="12548" max="12548" width="19.42578125" customWidth="1"/>
    <col min="12549" max="12549" width="6.5703125" customWidth="1"/>
    <col min="12550" max="12550" width="16.28515625" customWidth="1"/>
    <col min="12551" max="12551" width="12.140625" customWidth="1"/>
    <col min="12552" max="12552" width="8.7109375" customWidth="1"/>
    <col min="12553" max="12555" width="12.140625" customWidth="1"/>
    <col min="12557" max="12557" width="10.42578125" customWidth="1"/>
    <col min="12558" max="12558" width="13.5703125" customWidth="1"/>
    <col min="12570" max="12570" width="6.5703125" customWidth="1"/>
    <col min="12571" max="12571" width="11.140625" customWidth="1"/>
    <col min="12572" max="12572" width="12.7109375" customWidth="1"/>
    <col min="12573" max="12573" width="10.7109375" customWidth="1"/>
    <col min="12578" max="12578" width="6.5703125" customWidth="1"/>
    <col min="12582" max="12582" width="0.5703125" customWidth="1"/>
    <col min="12583" max="12583" width="15.28515625" customWidth="1"/>
    <col min="12584" max="12584" width="12.7109375" customWidth="1"/>
    <col min="12585" max="12585" width="12.85546875" customWidth="1"/>
    <col min="12586" max="12586" width="12.28515625" customWidth="1"/>
    <col min="12587" max="12587" width="11.7109375" customWidth="1"/>
    <col min="12588" max="12588" width="11.85546875" customWidth="1"/>
    <col min="12595" max="12595" width="5.42578125" customWidth="1"/>
    <col min="12597" max="12597" width="12.85546875" customWidth="1"/>
    <col min="12598" max="12598" width="12.7109375" customWidth="1"/>
    <col min="12599" max="12599" width="10.7109375" bestFit="1" customWidth="1"/>
    <col min="12792" max="12792" width="8.42578125" customWidth="1"/>
    <col min="12793" max="12793" width="15.42578125" customWidth="1"/>
    <col min="12794" max="12794" width="11.5703125" customWidth="1"/>
    <col min="12796" max="12796" width="25.7109375" customWidth="1"/>
    <col min="12797" max="12797" width="11.28515625" customWidth="1"/>
    <col min="12798" max="12798" width="12" customWidth="1"/>
    <col min="12799" max="12799" width="14.140625" customWidth="1"/>
    <col min="12801" max="12801" width="13" customWidth="1"/>
    <col min="12803" max="12803" width="13.5703125" customWidth="1"/>
    <col min="12804" max="12804" width="19.42578125" customWidth="1"/>
    <col min="12805" max="12805" width="6.5703125" customWidth="1"/>
    <col min="12806" max="12806" width="16.28515625" customWidth="1"/>
    <col min="12807" max="12807" width="12.140625" customWidth="1"/>
    <col min="12808" max="12808" width="8.7109375" customWidth="1"/>
    <col min="12809" max="12811" width="12.140625" customWidth="1"/>
    <col min="12813" max="12813" width="10.42578125" customWidth="1"/>
    <col min="12814" max="12814" width="13.5703125" customWidth="1"/>
    <col min="12826" max="12826" width="6.5703125" customWidth="1"/>
    <col min="12827" max="12827" width="11.140625" customWidth="1"/>
    <col min="12828" max="12828" width="12.7109375" customWidth="1"/>
    <col min="12829" max="12829" width="10.7109375" customWidth="1"/>
    <col min="12834" max="12834" width="6.5703125" customWidth="1"/>
    <col min="12838" max="12838" width="0.5703125" customWidth="1"/>
    <col min="12839" max="12839" width="15.28515625" customWidth="1"/>
    <col min="12840" max="12840" width="12.7109375" customWidth="1"/>
    <col min="12841" max="12841" width="12.85546875" customWidth="1"/>
    <col min="12842" max="12842" width="12.28515625" customWidth="1"/>
    <col min="12843" max="12843" width="11.7109375" customWidth="1"/>
    <col min="12844" max="12844" width="11.85546875" customWidth="1"/>
    <col min="12851" max="12851" width="5.42578125" customWidth="1"/>
    <col min="12853" max="12853" width="12.85546875" customWidth="1"/>
    <col min="12854" max="12854" width="12.7109375" customWidth="1"/>
    <col min="12855" max="12855" width="10.7109375" bestFit="1" customWidth="1"/>
    <col min="13048" max="13048" width="8.42578125" customWidth="1"/>
    <col min="13049" max="13049" width="15.42578125" customWidth="1"/>
    <col min="13050" max="13050" width="11.5703125" customWidth="1"/>
    <col min="13052" max="13052" width="25.7109375" customWidth="1"/>
    <col min="13053" max="13053" width="11.28515625" customWidth="1"/>
    <col min="13054" max="13054" width="12" customWidth="1"/>
    <col min="13055" max="13055" width="14.140625" customWidth="1"/>
    <col min="13057" max="13057" width="13" customWidth="1"/>
    <col min="13059" max="13059" width="13.5703125" customWidth="1"/>
    <col min="13060" max="13060" width="19.42578125" customWidth="1"/>
    <col min="13061" max="13061" width="6.5703125" customWidth="1"/>
    <col min="13062" max="13062" width="16.28515625" customWidth="1"/>
    <col min="13063" max="13063" width="12.140625" customWidth="1"/>
    <col min="13064" max="13064" width="8.7109375" customWidth="1"/>
    <col min="13065" max="13067" width="12.140625" customWidth="1"/>
    <col min="13069" max="13069" width="10.42578125" customWidth="1"/>
    <col min="13070" max="13070" width="13.5703125" customWidth="1"/>
    <col min="13082" max="13082" width="6.5703125" customWidth="1"/>
    <col min="13083" max="13083" width="11.140625" customWidth="1"/>
    <col min="13084" max="13084" width="12.7109375" customWidth="1"/>
    <col min="13085" max="13085" width="10.7109375" customWidth="1"/>
    <col min="13090" max="13090" width="6.5703125" customWidth="1"/>
    <col min="13094" max="13094" width="0.5703125" customWidth="1"/>
    <col min="13095" max="13095" width="15.28515625" customWidth="1"/>
    <col min="13096" max="13096" width="12.7109375" customWidth="1"/>
    <col min="13097" max="13097" width="12.85546875" customWidth="1"/>
    <col min="13098" max="13098" width="12.28515625" customWidth="1"/>
    <col min="13099" max="13099" width="11.7109375" customWidth="1"/>
    <col min="13100" max="13100" width="11.85546875" customWidth="1"/>
    <col min="13107" max="13107" width="5.42578125" customWidth="1"/>
    <col min="13109" max="13109" width="12.85546875" customWidth="1"/>
    <col min="13110" max="13110" width="12.7109375" customWidth="1"/>
    <col min="13111" max="13111" width="10.7109375" bestFit="1" customWidth="1"/>
    <col min="13304" max="13304" width="8.42578125" customWidth="1"/>
    <col min="13305" max="13305" width="15.42578125" customWidth="1"/>
    <col min="13306" max="13306" width="11.5703125" customWidth="1"/>
    <col min="13308" max="13308" width="25.7109375" customWidth="1"/>
    <col min="13309" max="13309" width="11.28515625" customWidth="1"/>
    <col min="13310" max="13310" width="12" customWidth="1"/>
    <col min="13311" max="13311" width="14.140625" customWidth="1"/>
    <col min="13313" max="13313" width="13" customWidth="1"/>
    <col min="13315" max="13315" width="13.5703125" customWidth="1"/>
    <col min="13316" max="13316" width="19.42578125" customWidth="1"/>
    <col min="13317" max="13317" width="6.5703125" customWidth="1"/>
    <col min="13318" max="13318" width="16.28515625" customWidth="1"/>
    <col min="13319" max="13319" width="12.140625" customWidth="1"/>
    <col min="13320" max="13320" width="8.7109375" customWidth="1"/>
    <col min="13321" max="13323" width="12.140625" customWidth="1"/>
    <col min="13325" max="13325" width="10.42578125" customWidth="1"/>
    <col min="13326" max="13326" width="13.5703125" customWidth="1"/>
    <col min="13338" max="13338" width="6.5703125" customWidth="1"/>
    <col min="13339" max="13339" width="11.140625" customWidth="1"/>
    <col min="13340" max="13340" width="12.7109375" customWidth="1"/>
    <col min="13341" max="13341" width="10.7109375" customWidth="1"/>
    <col min="13346" max="13346" width="6.5703125" customWidth="1"/>
    <col min="13350" max="13350" width="0.5703125" customWidth="1"/>
    <col min="13351" max="13351" width="15.28515625" customWidth="1"/>
    <col min="13352" max="13352" width="12.7109375" customWidth="1"/>
    <col min="13353" max="13353" width="12.85546875" customWidth="1"/>
    <col min="13354" max="13354" width="12.28515625" customWidth="1"/>
    <col min="13355" max="13355" width="11.7109375" customWidth="1"/>
    <col min="13356" max="13356" width="11.85546875" customWidth="1"/>
    <col min="13363" max="13363" width="5.42578125" customWidth="1"/>
    <col min="13365" max="13365" width="12.85546875" customWidth="1"/>
    <col min="13366" max="13366" width="12.7109375" customWidth="1"/>
    <col min="13367" max="13367" width="10.7109375" bestFit="1" customWidth="1"/>
    <col min="13560" max="13560" width="8.42578125" customWidth="1"/>
    <col min="13561" max="13561" width="15.42578125" customWidth="1"/>
    <col min="13562" max="13562" width="11.5703125" customWidth="1"/>
    <col min="13564" max="13564" width="25.7109375" customWidth="1"/>
    <col min="13565" max="13565" width="11.28515625" customWidth="1"/>
    <col min="13566" max="13566" width="12" customWidth="1"/>
    <col min="13567" max="13567" width="14.140625" customWidth="1"/>
    <col min="13569" max="13569" width="13" customWidth="1"/>
    <col min="13571" max="13571" width="13.5703125" customWidth="1"/>
    <col min="13572" max="13572" width="19.42578125" customWidth="1"/>
    <col min="13573" max="13573" width="6.5703125" customWidth="1"/>
    <col min="13574" max="13574" width="16.28515625" customWidth="1"/>
    <col min="13575" max="13575" width="12.140625" customWidth="1"/>
    <col min="13576" max="13576" width="8.7109375" customWidth="1"/>
    <col min="13577" max="13579" width="12.140625" customWidth="1"/>
    <col min="13581" max="13581" width="10.42578125" customWidth="1"/>
    <col min="13582" max="13582" width="13.5703125" customWidth="1"/>
    <col min="13594" max="13594" width="6.5703125" customWidth="1"/>
    <col min="13595" max="13595" width="11.140625" customWidth="1"/>
    <col min="13596" max="13596" width="12.7109375" customWidth="1"/>
    <col min="13597" max="13597" width="10.7109375" customWidth="1"/>
    <col min="13602" max="13602" width="6.5703125" customWidth="1"/>
    <col min="13606" max="13606" width="0.5703125" customWidth="1"/>
    <col min="13607" max="13607" width="15.28515625" customWidth="1"/>
    <col min="13608" max="13608" width="12.7109375" customWidth="1"/>
    <col min="13609" max="13609" width="12.85546875" customWidth="1"/>
    <col min="13610" max="13610" width="12.28515625" customWidth="1"/>
    <col min="13611" max="13611" width="11.7109375" customWidth="1"/>
    <col min="13612" max="13612" width="11.85546875" customWidth="1"/>
    <col min="13619" max="13619" width="5.42578125" customWidth="1"/>
    <col min="13621" max="13621" width="12.85546875" customWidth="1"/>
    <col min="13622" max="13622" width="12.7109375" customWidth="1"/>
    <col min="13623" max="13623" width="10.7109375" bestFit="1" customWidth="1"/>
    <col min="13816" max="13816" width="8.42578125" customWidth="1"/>
    <col min="13817" max="13817" width="15.42578125" customWidth="1"/>
    <col min="13818" max="13818" width="11.5703125" customWidth="1"/>
    <col min="13820" max="13820" width="25.7109375" customWidth="1"/>
    <col min="13821" max="13821" width="11.28515625" customWidth="1"/>
    <col min="13822" max="13822" width="12" customWidth="1"/>
    <col min="13823" max="13823" width="14.140625" customWidth="1"/>
    <col min="13825" max="13825" width="13" customWidth="1"/>
    <col min="13827" max="13827" width="13.5703125" customWidth="1"/>
    <col min="13828" max="13828" width="19.42578125" customWidth="1"/>
    <col min="13829" max="13829" width="6.5703125" customWidth="1"/>
    <col min="13830" max="13830" width="16.28515625" customWidth="1"/>
    <col min="13831" max="13831" width="12.140625" customWidth="1"/>
    <col min="13832" max="13832" width="8.7109375" customWidth="1"/>
    <col min="13833" max="13835" width="12.140625" customWidth="1"/>
    <col min="13837" max="13837" width="10.42578125" customWidth="1"/>
    <col min="13838" max="13838" width="13.5703125" customWidth="1"/>
    <col min="13850" max="13850" width="6.5703125" customWidth="1"/>
    <col min="13851" max="13851" width="11.140625" customWidth="1"/>
    <col min="13852" max="13852" width="12.7109375" customWidth="1"/>
    <col min="13853" max="13853" width="10.7109375" customWidth="1"/>
    <col min="13858" max="13858" width="6.5703125" customWidth="1"/>
    <col min="13862" max="13862" width="0.5703125" customWidth="1"/>
    <col min="13863" max="13863" width="15.28515625" customWidth="1"/>
    <col min="13864" max="13864" width="12.7109375" customWidth="1"/>
    <col min="13865" max="13865" width="12.85546875" customWidth="1"/>
    <col min="13866" max="13866" width="12.28515625" customWidth="1"/>
    <col min="13867" max="13867" width="11.7109375" customWidth="1"/>
    <col min="13868" max="13868" width="11.85546875" customWidth="1"/>
    <col min="13875" max="13875" width="5.42578125" customWidth="1"/>
    <col min="13877" max="13877" width="12.85546875" customWidth="1"/>
    <col min="13878" max="13878" width="12.7109375" customWidth="1"/>
    <col min="13879" max="13879" width="10.7109375" bestFit="1" customWidth="1"/>
    <col min="14072" max="14072" width="8.42578125" customWidth="1"/>
    <col min="14073" max="14073" width="15.42578125" customWidth="1"/>
    <col min="14074" max="14074" width="11.5703125" customWidth="1"/>
    <col min="14076" max="14076" width="25.7109375" customWidth="1"/>
    <col min="14077" max="14077" width="11.28515625" customWidth="1"/>
    <col min="14078" max="14078" width="12" customWidth="1"/>
    <col min="14079" max="14079" width="14.140625" customWidth="1"/>
    <col min="14081" max="14081" width="13" customWidth="1"/>
    <col min="14083" max="14083" width="13.5703125" customWidth="1"/>
    <col min="14084" max="14084" width="19.42578125" customWidth="1"/>
    <col min="14085" max="14085" width="6.5703125" customWidth="1"/>
    <col min="14086" max="14086" width="16.28515625" customWidth="1"/>
    <col min="14087" max="14087" width="12.140625" customWidth="1"/>
    <col min="14088" max="14088" width="8.7109375" customWidth="1"/>
    <col min="14089" max="14091" width="12.140625" customWidth="1"/>
    <col min="14093" max="14093" width="10.42578125" customWidth="1"/>
    <col min="14094" max="14094" width="13.5703125" customWidth="1"/>
    <col min="14106" max="14106" width="6.5703125" customWidth="1"/>
    <col min="14107" max="14107" width="11.140625" customWidth="1"/>
    <col min="14108" max="14108" width="12.7109375" customWidth="1"/>
    <col min="14109" max="14109" width="10.7109375" customWidth="1"/>
    <col min="14114" max="14114" width="6.5703125" customWidth="1"/>
    <col min="14118" max="14118" width="0.5703125" customWidth="1"/>
    <col min="14119" max="14119" width="15.28515625" customWidth="1"/>
    <col min="14120" max="14120" width="12.7109375" customWidth="1"/>
    <col min="14121" max="14121" width="12.85546875" customWidth="1"/>
    <col min="14122" max="14122" width="12.28515625" customWidth="1"/>
    <col min="14123" max="14123" width="11.7109375" customWidth="1"/>
    <col min="14124" max="14124" width="11.85546875" customWidth="1"/>
    <col min="14131" max="14131" width="5.42578125" customWidth="1"/>
    <col min="14133" max="14133" width="12.85546875" customWidth="1"/>
    <col min="14134" max="14134" width="12.7109375" customWidth="1"/>
    <col min="14135" max="14135" width="10.7109375" bestFit="1" customWidth="1"/>
    <col min="14328" max="14328" width="8.42578125" customWidth="1"/>
    <col min="14329" max="14329" width="15.42578125" customWidth="1"/>
    <col min="14330" max="14330" width="11.5703125" customWidth="1"/>
    <col min="14332" max="14332" width="25.7109375" customWidth="1"/>
    <col min="14333" max="14333" width="11.28515625" customWidth="1"/>
    <col min="14334" max="14334" width="12" customWidth="1"/>
    <col min="14335" max="14335" width="14.140625" customWidth="1"/>
    <col min="14337" max="14337" width="13" customWidth="1"/>
    <col min="14339" max="14339" width="13.5703125" customWidth="1"/>
    <col min="14340" max="14340" width="19.42578125" customWidth="1"/>
    <col min="14341" max="14341" width="6.5703125" customWidth="1"/>
    <col min="14342" max="14342" width="16.28515625" customWidth="1"/>
    <col min="14343" max="14343" width="12.140625" customWidth="1"/>
    <col min="14344" max="14344" width="8.7109375" customWidth="1"/>
    <col min="14345" max="14347" width="12.140625" customWidth="1"/>
    <col min="14349" max="14349" width="10.42578125" customWidth="1"/>
    <col min="14350" max="14350" width="13.5703125" customWidth="1"/>
    <col min="14362" max="14362" width="6.5703125" customWidth="1"/>
    <col min="14363" max="14363" width="11.140625" customWidth="1"/>
    <col min="14364" max="14364" width="12.7109375" customWidth="1"/>
    <col min="14365" max="14365" width="10.7109375" customWidth="1"/>
    <col min="14370" max="14370" width="6.5703125" customWidth="1"/>
    <col min="14374" max="14374" width="0.5703125" customWidth="1"/>
    <col min="14375" max="14375" width="15.28515625" customWidth="1"/>
    <col min="14376" max="14376" width="12.7109375" customWidth="1"/>
    <col min="14377" max="14377" width="12.85546875" customWidth="1"/>
    <col min="14378" max="14378" width="12.28515625" customWidth="1"/>
    <col min="14379" max="14379" width="11.7109375" customWidth="1"/>
    <col min="14380" max="14380" width="11.85546875" customWidth="1"/>
    <col min="14387" max="14387" width="5.42578125" customWidth="1"/>
    <col min="14389" max="14389" width="12.85546875" customWidth="1"/>
    <col min="14390" max="14390" width="12.7109375" customWidth="1"/>
    <col min="14391" max="14391" width="10.7109375" bestFit="1" customWidth="1"/>
    <col min="14584" max="14584" width="8.42578125" customWidth="1"/>
    <col min="14585" max="14585" width="15.42578125" customWidth="1"/>
    <col min="14586" max="14586" width="11.5703125" customWidth="1"/>
    <col min="14588" max="14588" width="25.7109375" customWidth="1"/>
    <col min="14589" max="14589" width="11.28515625" customWidth="1"/>
    <col min="14590" max="14590" width="12" customWidth="1"/>
    <col min="14591" max="14591" width="14.140625" customWidth="1"/>
    <col min="14593" max="14593" width="13" customWidth="1"/>
    <col min="14595" max="14595" width="13.5703125" customWidth="1"/>
    <col min="14596" max="14596" width="19.42578125" customWidth="1"/>
    <col min="14597" max="14597" width="6.5703125" customWidth="1"/>
    <col min="14598" max="14598" width="16.28515625" customWidth="1"/>
    <col min="14599" max="14599" width="12.140625" customWidth="1"/>
    <col min="14600" max="14600" width="8.7109375" customWidth="1"/>
    <col min="14601" max="14603" width="12.140625" customWidth="1"/>
    <col min="14605" max="14605" width="10.42578125" customWidth="1"/>
    <col min="14606" max="14606" width="13.5703125" customWidth="1"/>
    <col min="14618" max="14618" width="6.5703125" customWidth="1"/>
    <col min="14619" max="14619" width="11.140625" customWidth="1"/>
    <col min="14620" max="14620" width="12.7109375" customWidth="1"/>
    <col min="14621" max="14621" width="10.7109375" customWidth="1"/>
    <col min="14626" max="14626" width="6.5703125" customWidth="1"/>
    <col min="14630" max="14630" width="0.5703125" customWidth="1"/>
    <col min="14631" max="14631" width="15.28515625" customWidth="1"/>
    <col min="14632" max="14632" width="12.7109375" customWidth="1"/>
    <col min="14633" max="14633" width="12.85546875" customWidth="1"/>
    <col min="14634" max="14634" width="12.28515625" customWidth="1"/>
    <col min="14635" max="14635" width="11.7109375" customWidth="1"/>
    <col min="14636" max="14636" width="11.85546875" customWidth="1"/>
    <col min="14643" max="14643" width="5.42578125" customWidth="1"/>
    <col min="14645" max="14645" width="12.85546875" customWidth="1"/>
    <col min="14646" max="14646" width="12.7109375" customWidth="1"/>
    <col min="14647" max="14647" width="10.7109375" bestFit="1" customWidth="1"/>
    <col min="14840" max="14840" width="8.42578125" customWidth="1"/>
    <col min="14841" max="14841" width="15.42578125" customWidth="1"/>
    <col min="14842" max="14842" width="11.5703125" customWidth="1"/>
    <col min="14844" max="14844" width="25.7109375" customWidth="1"/>
    <col min="14845" max="14845" width="11.28515625" customWidth="1"/>
    <col min="14846" max="14846" width="12" customWidth="1"/>
    <col min="14847" max="14847" width="14.140625" customWidth="1"/>
    <col min="14849" max="14849" width="13" customWidth="1"/>
    <col min="14851" max="14851" width="13.5703125" customWidth="1"/>
    <col min="14852" max="14852" width="19.42578125" customWidth="1"/>
    <col min="14853" max="14853" width="6.5703125" customWidth="1"/>
    <col min="14854" max="14854" width="16.28515625" customWidth="1"/>
    <col min="14855" max="14855" width="12.140625" customWidth="1"/>
    <col min="14856" max="14856" width="8.7109375" customWidth="1"/>
    <col min="14857" max="14859" width="12.140625" customWidth="1"/>
    <col min="14861" max="14861" width="10.42578125" customWidth="1"/>
    <col min="14862" max="14862" width="13.5703125" customWidth="1"/>
    <col min="14874" max="14874" width="6.5703125" customWidth="1"/>
    <col min="14875" max="14875" width="11.140625" customWidth="1"/>
    <col min="14876" max="14876" width="12.7109375" customWidth="1"/>
    <col min="14877" max="14877" width="10.7109375" customWidth="1"/>
    <col min="14882" max="14882" width="6.5703125" customWidth="1"/>
    <col min="14886" max="14886" width="0.5703125" customWidth="1"/>
    <col min="14887" max="14887" width="15.28515625" customWidth="1"/>
    <col min="14888" max="14888" width="12.7109375" customWidth="1"/>
    <col min="14889" max="14889" width="12.85546875" customWidth="1"/>
    <col min="14890" max="14890" width="12.28515625" customWidth="1"/>
    <col min="14891" max="14891" width="11.7109375" customWidth="1"/>
    <col min="14892" max="14892" width="11.85546875" customWidth="1"/>
    <col min="14899" max="14899" width="5.42578125" customWidth="1"/>
    <col min="14901" max="14901" width="12.85546875" customWidth="1"/>
    <col min="14902" max="14902" width="12.7109375" customWidth="1"/>
    <col min="14903" max="14903" width="10.7109375" bestFit="1" customWidth="1"/>
    <col min="15096" max="15096" width="8.42578125" customWidth="1"/>
    <col min="15097" max="15097" width="15.42578125" customWidth="1"/>
    <col min="15098" max="15098" width="11.5703125" customWidth="1"/>
    <col min="15100" max="15100" width="25.7109375" customWidth="1"/>
    <col min="15101" max="15101" width="11.28515625" customWidth="1"/>
    <col min="15102" max="15102" width="12" customWidth="1"/>
    <col min="15103" max="15103" width="14.140625" customWidth="1"/>
    <col min="15105" max="15105" width="13" customWidth="1"/>
    <col min="15107" max="15107" width="13.5703125" customWidth="1"/>
    <col min="15108" max="15108" width="19.42578125" customWidth="1"/>
    <col min="15109" max="15109" width="6.5703125" customWidth="1"/>
    <col min="15110" max="15110" width="16.28515625" customWidth="1"/>
    <col min="15111" max="15111" width="12.140625" customWidth="1"/>
    <col min="15112" max="15112" width="8.7109375" customWidth="1"/>
    <col min="15113" max="15115" width="12.140625" customWidth="1"/>
    <col min="15117" max="15117" width="10.42578125" customWidth="1"/>
    <col min="15118" max="15118" width="13.5703125" customWidth="1"/>
    <col min="15130" max="15130" width="6.5703125" customWidth="1"/>
    <col min="15131" max="15131" width="11.140625" customWidth="1"/>
    <col min="15132" max="15132" width="12.7109375" customWidth="1"/>
    <col min="15133" max="15133" width="10.7109375" customWidth="1"/>
    <col min="15138" max="15138" width="6.5703125" customWidth="1"/>
    <col min="15142" max="15142" width="0.5703125" customWidth="1"/>
    <col min="15143" max="15143" width="15.28515625" customWidth="1"/>
    <col min="15144" max="15144" width="12.7109375" customWidth="1"/>
    <col min="15145" max="15145" width="12.85546875" customWidth="1"/>
    <col min="15146" max="15146" width="12.28515625" customWidth="1"/>
    <col min="15147" max="15147" width="11.7109375" customWidth="1"/>
    <col min="15148" max="15148" width="11.85546875" customWidth="1"/>
    <col min="15155" max="15155" width="5.42578125" customWidth="1"/>
    <col min="15157" max="15157" width="12.85546875" customWidth="1"/>
    <col min="15158" max="15158" width="12.7109375" customWidth="1"/>
    <col min="15159" max="15159" width="10.7109375" bestFit="1" customWidth="1"/>
    <col min="15352" max="15352" width="8.42578125" customWidth="1"/>
    <col min="15353" max="15353" width="15.42578125" customWidth="1"/>
    <col min="15354" max="15354" width="11.5703125" customWidth="1"/>
    <col min="15356" max="15356" width="25.7109375" customWidth="1"/>
    <col min="15357" max="15357" width="11.28515625" customWidth="1"/>
    <col min="15358" max="15358" width="12" customWidth="1"/>
    <col min="15359" max="15359" width="14.140625" customWidth="1"/>
    <col min="15361" max="15361" width="13" customWidth="1"/>
    <col min="15363" max="15363" width="13.5703125" customWidth="1"/>
    <col min="15364" max="15364" width="19.42578125" customWidth="1"/>
    <col min="15365" max="15365" width="6.5703125" customWidth="1"/>
    <col min="15366" max="15366" width="16.28515625" customWidth="1"/>
    <col min="15367" max="15367" width="12.140625" customWidth="1"/>
    <col min="15368" max="15368" width="8.7109375" customWidth="1"/>
    <col min="15369" max="15371" width="12.140625" customWidth="1"/>
    <col min="15373" max="15373" width="10.42578125" customWidth="1"/>
    <col min="15374" max="15374" width="13.5703125" customWidth="1"/>
    <col min="15386" max="15386" width="6.5703125" customWidth="1"/>
    <col min="15387" max="15387" width="11.140625" customWidth="1"/>
    <col min="15388" max="15388" width="12.7109375" customWidth="1"/>
    <col min="15389" max="15389" width="10.7109375" customWidth="1"/>
    <col min="15394" max="15394" width="6.5703125" customWidth="1"/>
    <col min="15398" max="15398" width="0.5703125" customWidth="1"/>
    <col min="15399" max="15399" width="15.28515625" customWidth="1"/>
    <col min="15400" max="15400" width="12.7109375" customWidth="1"/>
    <col min="15401" max="15401" width="12.85546875" customWidth="1"/>
    <col min="15402" max="15402" width="12.28515625" customWidth="1"/>
    <col min="15403" max="15403" width="11.7109375" customWidth="1"/>
    <col min="15404" max="15404" width="11.85546875" customWidth="1"/>
    <col min="15411" max="15411" width="5.42578125" customWidth="1"/>
    <col min="15413" max="15413" width="12.85546875" customWidth="1"/>
    <col min="15414" max="15414" width="12.7109375" customWidth="1"/>
    <col min="15415" max="15415" width="10.7109375" bestFit="1" customWidth="1"/>
    <col min="15608" max="15608" width="8.42578125" customWidth="1"/>
    <col min="15609" max="15609" width="15.42578125" customWidth="1"/>
    <col min="15610" max="15610" width="11.5703125" customWidth="1"/>
    <col min="15612" max="15612" width="25.7109375" customWidth="1"/>
    <col min="15613" max="15613" width="11.28515625" customWidth="1"/>
    <col min="15614" max="15614" width="12" customWidth="1"/>
    <col min="15615" max="15615" width="14.140625" customWidth="1"/>
    <col min="15617" max="15617" width="13" customWidth="1"/>
    <col min="15619" max="15619" width="13.5703125" customWidth="1"/>
    <col min="15620" max="15620" width="19.42578125" customWidth="1"/>
    <col min="15621" max="15621" width="6.5703125" customWidth="1"/>
    <col min="15622" max="15622" width="16.28515625" customWidth="1"/>
    <col min="15623" max="15623" width="12.140625" customWidth="1"/>
    <col min="15624" max="15624" width="8.7109375" customWidth="1"/>
    <col min="15625" max="15627" width="12.140625" customWidth="1"/>
    <col min="15629" max="15629" width="10.42578125" customWidth="1"/>
    <col min="15630" max="15630" width="13.5703125" customWidth="1"/>
    <col min="15642" max="15642" width="6.5703125" customWidth="1"/>
    <col min="15643" max="15643" width="11.140625" customWidth="1"/>
    <col min="15644" max="15644" width="12.7109375" customWidth="1"/>
    <col min="15645" max="15645" width="10.7109375" customWidth="1"/>
    <col min="15650" max="15650" width="6.5703125" customWidth="1"/>
    <col min="15654" max="15654" width="0.5703125" customWidth="1"/>
    <col min="15655" max="15655" width="15.28515625" customWidth="1"/>
    <col min="15656" max="15656" width="12.7109375" customWidth="1"/>
    <col min="15657" max="15657" width="12.85546875" customWidth="1"/>
    <col min="15658" max="15658" width="12.28515625" customWidth="1"/>
    <col min="15659" max="15659" width="11.7109375" customWidth="1"/>
    <col min="15660" max="15660" width="11.85546875" customWidth="1"/>
    <col min="15667" max="15667" width="5.42578125" customWidth="1"/>
    <col min="15669" max="15669" width="12.85546875" customWidth="1"/>
    <col min="15670" max="15670" width="12.7109375" customWidth="1"/>
    <col min="15671" max="15671" width="10.7109375" bestFit="1" customWidth="1"/>
    <col min="15864" max="15864" width="8.42578125" customWidth="1"/>
    <col min="15865" max="15865" width="15.42578125" customWidth="1"/>
    <col min="15866" max="15866" width="11.5703125" customWidth="1"/>
    <col min="15868" max="15868" width="25.7109375" customWidth="1"/>
    <col min="15869" max="15869" width="11.28515625" customWidth="1"/>
    <col min="15870" max="15870" width="12" customWidth="1"/>
    <col min="15871" max="15871" width="14.140625" customWidth="1"/>
    <col min="15873" max="15873" width="13" customWidth="1"/>
    <col min="15875" max="15875" width="13.5703125" customWidth="1"/>
    <col min="15876" max="15876" width="19.42578125" customWidth="1"/>
    <col min="15877" max="15877" width="6.5703125" customWidth="1"/>
    <col min="15878" max="15878" width="16.28515625" customWidth="1"/>
    <col min="15879" max="15879" width="12.140625" customWidth="1"/>
    <col min="15880" max="15880" width="8.7109375" customWidth="1"/>
    <col min="15881" max="15883" width="12.140625" customWidth="1"/>
    <col min="15885" max="15885" width="10.42578125" customWidth="1"/>
    <col min="15886" max="15886" width="13.5703125" customWidth="1"/>
    <col min="15898" max="15898" width="6.5703125" customWidth="1"/>
    <col min="15899" max="15899" width="11.140625" customWidth="1"/>
    <col min="15900" max="15900" width="12.7109375" customWidth="1"/>
    <col min="15901" max="15901" width="10.7109375" customWidth="1"/>
    <col min="15906" max="15906" width="6.5703125" customWidth="1"/>
    <col min="15910" max="15910" width="0.5703125" customWidth="1"/>
    <col min="15911" max="15911" width="15.28515625" customWidth="1"/>
    <col min="15912" max="15912" width="12.7109375" customWidth="1"/>
    <col min="15913" max="15913" width="12.85546875" customWidth="1"/>
    <col min="15914" max="15914" width="12.28515625" customWidth="1"/>
    <col min="15915" max="15915" width="11.7109375" customWidth="1"/>
    <col min="15916" max="15916" width="11.85546875" customWidth="1"/>
    <col min="15923" max="15923" width="5.42578125" customWidth="1"/>
    <col min="15925" max="15925" width="12.85546875" customWidth="1"/>
    <col min="15926" max="15926" width="12.7109375" customWidth="1"/>
    <col min="15927" max="15927" width="10.7109375" bestFit="1" customWidth="1"/>
    <col min="16120" max="16120" width="8.42578125" customWidth="1"/>
    <col min="16121" max="16121" width="15.42578125" customWidth="1"/>
    <col min="16122" max="16122" width="11.5703125" customWidth="1"/>
    <col min="16124" max="16124" width="25.7109375" customWidth="1"/>
    <col min="16125" max="16125" width="11.28515625" customWidth="1"/>
    <col min="16126" max="16126" width="12" customWidth="1"/>
    <col min="16127" max="16127" width="14.140625" customWidth="1"/>
    <col min="16129" max="16129" width="13" customWidth="1"/>
    <col min="16131" max="16131" width="13.5703125" customWidth="1"/>
    <col min="16132" max="16132" width="19.42578125" customWidth="1"/>
    <col min="16133" max="16133" width="6.5703125" customWidth="1"/>
    <col min="16134" max="16134" width="16.28515625" customWidth="1"/>
    <col min="16135" max="16135" width="12.140625" customWidth="1"/>
    <col min="16136" max="16136" width="8.7109375" customWidth="1"/>
    <col min="16137" max="16139" width="12.140625" customWidth="1"/>
    <col min="16141" max="16141" width="10.42578125" customWidth="1"/>
    <col min="16142" max="16142" width="13.5703125" customWidth="1"/>
    <col min="16154" max="16154" width="6.5703125" customWidth="1"/>
    <col min="16155" max="16155" width="11.140625" customWidth="1"/>
    <col min="16156" max="16156" width="12.7109375" customWidth="1"/>
    <col min="16157" max="16157" width="10.7109375" customWidth="1"/>
    <col min="16162" max="16162" width="6.5703125" customWidth="1"/>
    <col min="16166" max="16166" width="0.5703125" customWidth="1"/>
    <col min="16167" max="16167" width="15.28515625" customWidth="1"/>
    <col min="16168" max="16168" width="12.7109375" customWidth="1"/>
    <col min="16169" max="16169" width="12.85546875" customWidth="1"/>
    <col min="16170" max="16170" width="12.28515625" customWidth="1"/>
    <col min="16171" max="16171" width="11.7109375" customWidth="1"/>
    <col min="16172" max="16172" width="11.85546875" customWidth="1"/>
    <col min="16179" max="16179" width="5.42578125" customWidth="1"/>
    <col min="16181" max="16181" width="12.85546875" customWidth="1"/>
    <col min="16182" max="16182" width="12.7109375" customWidth="1"/>
    <col min="16183" max="16183" width="10.7109375" bestFit="1" customWidth="1"/>
  </cols>
  <sheetData>
    <row r="1" spans="1:14" x14ac:dyDescent="0.2">
      <c r="B1" s="31"/>
      <c r="C1" s="31"/>
      <c r="D1" s="31"/>
      <c r="E1" s="31"/>
      <c r="F1" s="31"/>
      <c r="G1" s="31"/>
      <c r="H1" s="32" t="s">
        <v>72</v>
      </c>
      <c r="I1" s="31"/>
      <c r="J1" s="31"/>
      <c r="K1" s="31"/>
    </row>
    <row r="2" spans="1:14" x14ac:dyDescent="0.2">
      <c r="B2" s="31"/>
      <c r="C2" s="31"/>
      <c r="D2" s="31"/>
      <c r="E2" s="31"/>
      <c r="F2" s="31"/>
      <c r="G2" s="31"/>
      <c r="H2" s="32" t="s">
        <v>73</v>
      </c>
      <c r="I2" s="31"/>
      <c r="J2" s="31"/>
      <c r="K2" s="31"/>
    </row>
    <row r="3" spans="1:14" x14ac:dyDescent="0.2">
      <c r="B3" s="31"/>
      <c r="C3" s="31"/>
      <c r="D3" s="31"/>
      <c r="E3" s="31"/>
      <c r="F3" s="31"/>
      <c r="G3" s="31"/>
      <c r="H3" s="32" t="s">
        <v>74</v>
      </c>
      <c r="I3" s="31"/>
      <c r="J3" s="31"/>
      <c r="K3" s="31"/>
    </row>
    <row r="4" spans="1:14" ht="18.75" x14ac:dyDescent="0.3">
      <c r="A4" s="33"/>
      <c r="B4" s="191" t="s">
        <v>115</v>
      </c>
      <c r="C4" s="191"/>
      <c r="D4" s="191"/>
      <c r="E4" s="191"/>
      <c r="F4" s="191"/>
      <c r="G4" s="191"/>
      <c r="H4" s="191"/>
      <c r="I4" s="191"/>
      <c r="J4" s="114"/>
      <c r="K4" s="114"/>
      <c r="L4" s="33"/>
    </row>
    <row r="5" spans="1:14" ht="15.75" x14ac:dyDescent="0.25">
      <c r="A5" s="33"/>
      <c r="B5" s="31"/>
      <c r="C5" s="31"/>
      <c r="D5" s="31"/>
      <c r="E5" s="192" t="s">
        <v>75</v>
      </c>
      <c r="F5" s="192"/>
      <c r="G5" s="192"/>
      <c r="H5" s="192"/>
      <c r="I5" s="31"/>
      <c r="J5" s="31"/>
      <c r="K5" s="31"/>
      <c r="L5" s="33"/>
    </row>
    <row r="6" spans="1:14" ht="15" x14ac:dyDescent="0.25">
      <c r="A6" s="34"/>
      <c r="B6" s="193" t="s">
        <v>76</v>
      </c>
      <c r="C6" s="194"/>
      <c r="D6" s="193" t="s">
        <v>77</v>
      </c>
      <c r="E6" s="195"/>
      <c r="F6" s="195"/>
      <c r="G6" s="195"/>
      <c r="H6" s="194"/>
      <c r="I6" s="35" t="s">
        <v>78</v>
      </c>
      <c r="J6" s="35" t="s">
        <v>79</v>
      </c>
      <c r="K6" s="34"/>
      <c r="L6" s="33"/>
    </row>
    <row r="7" spans="1:14" ht="15" x14ac:dyDescent="0.25">
      <c r="A7" s="36"/>
      <c r="B7" s="196" t="s">
        <v>80</v>
      </c>
      <c r="C7" s="197"/>
      <c r="D7" s="180" t="s">
        <v>212</v>
      </c>
      <c r="E7" s="181"/>
      <c r="F7" s="181"/>
      <c r="G7" s="37">
        <v>50</v>
      </c>
      <c r="H7" s="113" t="s">
        <v>214</v>
      </c>
      <c r="I7" s="41">
        <f>SUM(1224.09*48)</f>
        <v>58756.319999999992</v>
      </c>
      <c r="J7" s="38">
        <f>I7/16344</f>
        <v>3.5949779735682816</v>
      </c>
      <c r="K7" s="36"/>
      <c r="L7" s="33"/>
      <c r="M7" s="41">
        <f>SUM(120.6*20.3/100*50)</f>
        <v>1224.0899999999999</v>
      </c>
      <c r="N7" s="41">
        <f>SUM(1224.09*48)</f>
        <v>58756.319999999992</v>
      </c>
    </row>
    <row r="8" spans="1:14" ht="15" x14ac:dyDescent="0.25">
      <c r="A8" s="40"/>
      <c r="B8" s="198"/>
      <c r="C8" s="199"/>
      <c r="D8" s="180" t="s">
        <v>213</v>
      </c>
      <c r="E8" s="181"/>
      <c r="F8" s="181"/>
      <c r="G8" s="37">
        <v>50</v>
      </c>
      <c r="H8" s="113" t="s">
        <v>215</v>
      </c>
      <c r="I8" s="39">
        <f>SUM(1282.96*48)</f>
        <v>61582.080000000002</v>
      </c>
      <c r="J8" s="38">
        <f t="shared" ref="J8:J37" si="0">I8/16344</f>
        <v>3.767870778267254</v>
      </c>
      <c r="K8" s="36"/>
      <c r="L8" s="33"/>
      <c r="M8" s="41">
        <f>SUM(126.4*20.3/100*50)</f>
        <v>1282.96</v>
      </c>
      <c r="N8" s="39">
        <f>SUM(1282.96*48)</f>
        <v>61582.080000000002</v>
      </c>
    </row>
    <row r="9" spans="1:14" ht="15" x14ac:dyDescent="0.25">
      <c r="A9" s="40"/>
      <c r="B9" s="198"/>
      <c r="C9" s="199"/>
      <c r="D9" s="180" t="s">
        <v>146</v>
      </c>
      <c r="E9" s="181"/>
      <c r="F9" s="181"/>
      <c r="G9" s="37">
        <v>50</v>
      </c>
      <c r="H9" s="113" t="s">
        <v>147</v>
      </c>
      <c r="I9" s="41">
        <f>SUM(999.78*48)</f>
        <v>47989.440000000002</v>
      </c>
      <c r="J9" s="38">
        <f t="shared" si="0"/>
        <v>2.9362114537444937</v>
      </c>
      <c r="K9" s="36"/>
      <c r="L9" s="33"/>
      <c r="M9" s="41">
        <f>SUM(98.5*20.3/100*50)</f>
        <v>999.7750000000002</v>
      </c>
      <c r="N9" s="41">
        <f>SUM(999.78*48)</f>
        <v>47989.440000000002</v>
      </c>
    </row>
    <row r="10" spans="1:14" ht="15" customHeight="1" x14ac:dyDescent="0.25">
      <c r="A10" s="40"/>
      <c r="B10" s="198"/>
      <c r="C10" s="199"/>
      <c r="D10" s="180" t="s">
        <v>216</v>
      </c>
      <c r="E10" s="181"/>
      <c r="F10" s="181"/>
      <c r="G10" s="37">
        <v>50</v>
      </c>
      <c r="H10" s="113" t="s">
        <v>217</v>
      </c>
      <c r="I10" s="41">
        <f>SUM(1374.31*48)</f>
        <v>65966.880000000005</v>
      </c>
      <c r="J10" s="38">
        <f t="shared" si="0"/>
        <v>4.0361527165932456</v>
      </c>
      <c r="K10" s="36"/>
      <c r="L10" s="33"/>
      <c r="M10" s="41">
        <f>SUM(135.4*20.3/100*50)</f>
        <v>1374.3100000000002</v>
      </c>
      <c r="N10" s="41">
        <f>SUM(1374.31*48)</f>
        <v>65966.880000000005</v>
      </c>
    </row>
    <row r="11" spans="1:14" ht="15" customHeight="1" x14ac:dyDescent="0.25">
      <c r="A11" s="40"/>
      <c r="B11" s="198"/>
      <c r="C11" s="199"/>
      <c r="D11" s="180" t="s">
        <v>148</v>
      </c>
      <c r="E11" s="181"/>
      <c r="F11" s="181"/>
      <c r="G11" s="37">
        <v>50</v>
      </c>
      <c r="H11" s="113" t="s">
        <v>156</v>
      </c>
      <c r="I11" s="41">
        <f>SUM(1075.9*48)</f>
        <v>51643.200000000004</v>
      </c>
      <c r="J11" s="38">
        <f t="shared" si="0"/>
        <v>3.1597650513950075</v>
      </c>
      <c r="K11" s="36"/>
      <c r="L11" s="33"/>
      <c r="M11" s="41">
        <f>SUM(106*20.3/100*50)</f>
        <v>1075.9000000000001</v>
      </c>
      <c r="N11" s="41">
        <f>SUM(1075.9*48)</f>
        <v>51643.200000000004</v>
      </c>
    </row>
    <row r="12" spans="1:14" ht="15" customHeight="1" x14ac:dyDescent="0.25">
      <c r="A12" s="40"/>
      <c r="B12" s="198"/>
      <c r="C12" s="199"/>
      <c r="D12" s="180" t="s">
        <v>149</v>
      </c>
      <c r="E12" s="181"/>
      <c r="F12" s="181"/>
      <c r="G12" s="37">
        <v>50</v>
      </c>
      <c r="H12" s="113" t="s">
        <v>157</v>
      </c>
      <c r="I12" s="41">
        <f>SUM(994.7*48)</f>
        <v>47745.600000000006</v>
      </c>
      <c r="J12" s="38">
        <f t="shared" si="0"/>
        <v>2.9212922173274598</v>
      </c>
      <c r="K12" s="36"/>
      <c r="L12" s="33"/>
      <c r="M12" s="41">
        <f>SUM(98*20.3/100*50)</f>
        <v>994.7</v>
      </c>
      <c r="N12" s="41">
        <f>SUM(994.7*48)</f>
        <v>47745.600000000006</v>
      </c>
    </row>
    <row r="13" spans="1:14" ht="15" customHeight="1" x14ac:dyDescent="0.25">
      <c r="A13" s="40"/>
      <c r="B13" s="198"/>
      <c r="C13" s="199"/>
      <c r="D13" s="180" t="s">
        <v>150</v>
      </c>
      <c r="E13" s="181"/>
      <c r="F13" s="181"/>
      <c r="G13" s="37">
        <v>50</v>
      </c>
      <c r="H13" s="113" t="s">
        <v>158</v>
      </c>
      <c r="I13" s="41">
        <f>SUM(1045.45*48)</f>
        <v>50181.600000000006</v>
      </c>
      <c r="J13" s="38">
        <f t="shared" si="0"/>
        <v>3.0703377386196773</v>
      </c>
      <c r="K13" s="36"/>
      <c r="L13" s="33"/>
      <c r="M13" s="41">
        <f>SUM(103*20.3/100*50)</f>
        <v>1045.45</v>
      </c>
      <c r="N13" s="41">
        <f>SUM(1045.45*48)</f>
        <v>50181.600000000006</v>
      </c>
    </row>
    <row r="14" spans="1:14" ht="15" x14ac:dyDescent="0.25">
      <c r="A14" s="40"/>
      <c r="B14" s="198"/>
      <c r="C14" s="199"/>
      <c r="D14" s="189" t="s">
        <v>218</v>
      </c>
      <c r="E14" s="190"/>
      <c r="F14" s="190"/>
      <c r="G14" s="37">
        <v>50</v>
      </c>
      <c r="H14" s="113" t="s">
        <v>219</v>
      </c>
      <c r="I14" s="41">
        <f>SUM(1220.26*48)</f>
        <v>58572.479999999996</v>
      </c>
      <c r="J14" s="38">
        <f t="shared" si="0"/>
        <v>3.5837298091042582</v>
      </c>
      <c r="K14" s="36"/>
      <c r="L14" s="33"/>
      <c r="M14" s="41">
        <f>SUM(125.8*19.4/100*50)</f>
        <v>1220.26</v>
      </c>
      <c r="N14" s="41">
        <f>SUM(1220.26*48)</f>
        <v>58572.479999999996</v>
      </c>
    </row>
    <row r="15" spans="1:14" ht="15" x14ac:dyDescent="0.25">
      <c r="A15" s="40"/>
      <c r="B15" s="198"/>
      <c r="C15" s="199"/>
      <c r="D15" s="189" t="s">
        <v>151</v>
      </c>
      <c r="E15" s="190"/>
      <c r="F15" s="190"/>
      <c r="G15" s="37">
        <v>50</v>
      </c>
      <c r="H15" s="113" t="s">
        <v>159</v>
      </c>
      <c r="I15" s="41">
        <f>SUM(950.6*48)</f>
        <v>45628.800000000003</v>
      </c>
      <c r="J15" s="38">
        <f t="shared" si="0"/>
        <v>2.7917767988252571</v>
      </c>
      <c r="K15" s="36"/>
      <c r="L15" s="33"/>
      <c r="M15" s="41">
        <f>SUM(98*19.4/100*50)</f>
        <v>950.5999999999998</v>
      </c>
      <c r="N15" s="41">
        <f>SUM(950.6*48)</f>
        <v>45628.800000000003</v>
      </c>
    </row>
    <row r="16" spans="1:14" ht="15" x14ac:dyDescent="0.25">
      <c r="A16" s="40"/>
      <c r="B16" s="198"/>
      <c r="C16" s="199"/>
      <c r="D16" s="189" t="s">
        <v>220</v>
      </c>
      <c r="E16" s="190"/>
      <c r="F16" s="190"/>
      <c r="G16" s="37">
        <v>50</v>
      </c>
      <c r="H16" s="113" t="s">
        <v>233</v>
      </c>
      <c r="I16" s="41">
        <f>SUM(1402.62*48)</f>
        <v>67325.759999999995</v>
      </c>
      <c r="J16" s="38">
        <f t="shared" si="0"/>
        <v>4.1192951541850213</v>
      </c>
      <c r="K16" s="36"/>
      <c r="L16" s="33"/>
      <c r="M16" s="41">
        <f>SUM(144.6*19.4/100*50)</f>
        <v>1402.62</v>
      </c>
      <c r="N16" s="41">
        <f>SUM(1402.62*48)</f>
        <v>67325.759999999995</v>
      </c>
    </row>
    <row r="17" spans="1:14" ht="15" x14ac:dyDescent="0.25">
      <c r="A17" s="40"/>
      <c r="B17" s="198"/>
      <c r="C17" s="199"/>
      <c r="D17" s="189" t="s">
        <v>152</v>
      </c>
      <c r="E17" s="190"/>
      <c r="F17" s="190"/>
      <c r="G17" s="37">
        <v>50</v>
      </c>
      <c r="H17" s="113" t="s">
        <v>160</v>
      </c>
      <c r="I17" s="41">
        <f>SUM(940.9*48)</f>
        <v>45163.199999999997</v>
      </c>
      <c r="J17" s="38">
        <f t="shared" si="0"/>
        <v>2.763289280469897</v>
      </c>
      <c r="K17" s="36"/>
      <c r="L17" s="33"/>
      <c r="M17" s="41">
        <f>SUM(97*19.4/100*50)</f>
        <v>940.89999999999986</v>
      </c>
      <c r="N17" s="41">
        <f>SUM(940.9*48)</f>
        <v>45163.199999999997</v>
      </c>
    </row>
    <row r="18" spans="1:14" ht="15" x14ac:dyDescent="0.25">
      <c r="A18" s="40"/>
      <c r="B18" s="198"/>
      <c r="C18" s="199"/>
      <c r="D18" s="189" t="s">
        <v>153</v>
      </c>
      <c r="E18" s="190"/>
      <c r="F18" s="190"/>
      <c r="G18" s="37">
        <v>50</v>
      </c>
      <c r="H18" s="113" t="s">
        <v>161</v>
      </c>
      <c r="I18" s="41">
        <f>SUM(902.1*48)</f>
        <v>43300.800000000003</v>
      </c>
      <c r="J18" s="38">
        <f t="shared" si="0"/>
        <v>2.6493392070484583</v>
      </c>
      <c r="K18" s="36"/>
      <c r="L18" s="33"/>
      <c r="M18" s="41">
        <f>SUM(93*19.4/100*50)</f>
        <v>902.09999999999991</v>
      </c>
      <c r="N18" s="41">
        <f>SUM(902.1*48)</f>
        <v>43300.800000000003</v>
      </c>
    </row>
    <row r="19" spans="1:14" ht="15" x14ac:dyDescent="0.25">
      <c r="A19" s="40"/>
      <c r="B19" s="198"/>
      <c r="C19" s="199"/>
      <c r="D19" s="189" t="s">
        <v>154</v>
      </c>
      <c r="E19" s="190"/>
      <c r="F19" s="190"/>
      <c r="G19" s="37">
        <v>50</v>
      </c>
      <c r="H19" s="113" t="s">
        <v>162</v>
      </c>
      <c r="I19" s="41">
        <f>SUM(999.1*48)</f>
        <v>47956.800000000003</v>
      </c>
      <c r="J19" s="38">
        <f t="shared" si="0"/>
        <v>2.9342143906020559</v>
      </c>
      <c r="K19" s="36"/>
      <c r="L19" s="33"/>
      <c r="M19" s="41">
        <f>SUM(103*19.4/100*50)</f>
        <v>999.09999999999991</v>
      </c>
      <c r="N19" s="41">
        <f>SUM(999.1*48)</f>
        <v>47956.800000000003</v>
      </c>
    </row>
    <row r="20" spans="1:14" ht="15" x14ac:dyDescent="0.25">
      <c r="A20" s="40"/>
      <c r="B20" s="198"/>
      <c r="C20" s="199"/>
      <c r="D20" s="180" t="s">
        <v>155</v>
      </c>
      <c r="E20" s="181"/>
      <c r="F20" s="181"/>
      <c r="G20" s="37">
        <v>50</v>
      </c>
      <c r="H20" s="42" t="s">
        <v>163</v>
      </c>
      <c r="I20" s="41">
        <f>SUM(1008.8*48)</f>
        <v>48422.399999999994</v>
      </c>
      <c r="J20" s="38">
        <f t="shared" si="0"/>
        <v>2.9627019089574151</v>
      </c>
      <c r="K20" s="36"/>
      <c r="L20" s="33"/>
      <c r="M20" s="41">
        <f>SUM(104*19.4/100*50)</f>
        <v>1008.8</v>
      </c>
      <c r="N20" s="41">
        <f>SUM(1008.8*48)</f>
        <v>48422.399999999994</v>
      </c>
    </row>
    <row r="21" spans="1:14" ht="15" x14ac:dyDescent="0.25">
      <c r="A21" s="40"/>
      <c r="B21" s="198"/>
      <c r="C21" s="199"/>
      <c r="D21" s="189" t="s">
        <v>222</v>
      </c>
      <c r="E21" s="190"/>
      <c r="F21" s="190"/>
      <c r="G21" s="37">
        <v>50</v>
      </c>
      <c r="H21" s="42" t="s">
        <v>223</v>
      </c>
      <c r="I21" s="41">
        <f>SUM(1146.54*48)</f>
        <v>55033.919999999998</v>
      </c>
      <c r="J21" s="38">
        <f t="shared" si="0"/>
        <v>3.367224669603524</v>
      </c>
      <c r="K21" s="36"/>
      <c r="L21" s="33"/>
      <c r="M21" s="41">
        <f>SUM(118.2*19.4/100*50)</f>
        <v>1146.54</v>
      </c>
      <c r="N21" s="41">
        <f>SUM(1146.54*48)</f>
        <v>55033.919999999998</v>
      </c>
    </row>
    <row r="22" spans="1:14" ht="15" customHeight="1" x14ac:dyDescent="0.25">
      <c r="A22" s="40"/>
      <c r="B22" s="198"/>
      <c r="C22" s="199"/>
      <c r="D22" s="189" t="s">
        <v>224</v>
      </c>
      <c r="E22" s="190"/>
      <c r="F22" s="190"/>
      <c r="G22" s="37">
        <v>50</v>
      </c>
      <c r="H22" s="42" t="s">
        <v>221</v>
      </c>
      <c r="I22" s="41">
        <f>SUM(1393.89*48)</f>
        <v>66906.720000000001</v>
      </c>
      <c r="J22" s="38">
        <f t="shared" si="0"/>
        <v>4.0936563876651979</v>
      </c>
      <c r="K22" s="36"/>
      <c r="L22" s="33"/>
      <c r="M22" s="41">
        <f>SUM(143.7*19.4/100*50)</f>
        <v>1393.8899999999999</v>
      </c>
      <c r="N22" s="41">
        <f>SUM(1393.89*48)</f>
        <v>66906.720000000001</v>
      </c>
    </row>
    <row r="23" spans="1:14" ht="15" customHeight="1" x14ac:dyDescent="0.25">
      <c r="A23" s="40"/>
      <c r="B23" s="198"/>
      <c r="C23" s="199"/>
      <c r="D23" s="189" t="s">
        <v>164</v>
      </c>
      <c r="E23" s="190"/>
      <c r="F23" s="190"/>
      <c r="G23" s="37">
        <v>50</v>
      </c>
      <c r="H23" s="42" t="s">
        <v>165</v>
      </c>
      <c r="I23" s="41">
        <f>SUM(1028.2*48)</f>
        <v>49353.600000000006</v>
      </c>
      <c r="J23" s="38">
        <f t="shared" si="0"/>
        <v>3.0196769456681354</v>
      </c>
      <c r="K23" s="36"/>
      <c r="L23" s="33"/>
      <c r="M23" s="41">
        <f>SUM(106*19.4/100*50)</f>
        <v>1028.1999999999998</v>
      </c>
      <c r="N23" s="41">
        <f>SUM(1028.2*48)</f>
        <v>49353.600000000006</v>
      </c>
    </row>
    <row r="24" spans="1:14" ht="15" customHeight="1" x14ac:dyDescent="0.25">
      <c r="A24" s="40"/>
      <c r="B24" s="198"/>
      <c r="C24" s="199"/>
      <c r="D24" s="189" t="s">
        <v>166</v>
      </c>
      <c r="E24" s="190"/>
      <c r="F24" s="190"/>
      <c r="G24" s="37">
        <v>50</v>
      </c>
      <c r="H24" s="42" t="s">
        <v>162</v>
      </c>
      <c r="I24" s="41">
        <f>SUM(999.1*48)</f>
        <v>47956.800000000003</v>
      </c>
      <c r="J24" s="38">
        <f t="shared" si="0"/>
        <v>2.9342143906020559</v>
      </c>
      <c r="K24" s="36"/>
      <c r="L24" s="33"/>
      <c r="M24" s="41">
        <f>SUM(103*19.4/100*50)</f>
        <v>999.09999999999991</v>
      </c>
      <c r="N24" s="41">
        <f>SUM(999.1*48)</f>
        <v>47956.800000000003</v>
      </c>
    </row>
    <row r="25" spans="1:14" ht="15" customHeight="1" x14ac:dyDescent="0.25">
      <c r="A25" s="40"/>
      <c r="B25" s="198"/>
      <c r="C25" s="199"/>
      <c r="D25" s="180" t="s">
        <v>225</v>
      </c>
      <c r="E25" s="181"/>
      <c r="F25" s="181"/>
      <c r="G25" s="37">
        <v>50</v>
      </c>
      <c r="H25" s="42" t="s">
        <v>226</v>
      </c>
      <c r="I25" s="41">
        <f>SUM(1897.92*48)</f>
        <v>91100.160000000003</v>
      </c>
      <c r="J25" s="38">
        <f t="shared" si="0"/>
        <v>5.5739207048458148</v>
      </c>
      <c r="K25" s="36"/>
      <c r="L25" s="33"/>
      <c r="M25" s="41">
        <f>SUM(131.8*28.8/100*50)</f>
        <v>1897.9200000000003</v>
      </c>
      <c r="N25" s="41">
        <f>SUM(1897.92*48)</f>
        <v>91100.160000000003</v>
      </c>
    </row>
    <row r="26" spans="1:14" ht="15" customHeight="1" x14ac:dyDescent="0.25">
      <c r="A26" s="111"/>
      <c r="B26" s="198"/>
      <c r="C26" s="199"/>
      <c r="D26" s="180" t="s">
        <v>167</v>
      </c>
      <c r="E26" s="181"/>
      <c r="F26" s="181"/>
      <c r="G26" s="37">
        <v>50</v>
      </c>
      <c r="H26" s="42" t="s">
        <v>168</v>
      </c>
      <c r="I26" s="41">
        <f>SUM(1324.8*48)</f>
        <v>63590.399999999994</v>
      </c>
      <c r="J26" s="38">
        <f t="shared" si="0"/>
        <v>3.8907488986784138</v>
      </c>
      <c r="K26" s="36"/>
      <c r="L26" s="33"/>
      <c r="M26" s="41">
        <f>SUM(92*28.8/100*50)</f>
        <v>1324.8</v>
      </c>
      <c r="N26" s="41">
        <f>SUM(1324.8*48)</f>
        <v>63590.399999999994</v>
      </c>
    </row>
    <row r="27" spans="1:14" ht="15" customHeight="1" x14ac:dyDescent="0.25">
      <c r="A27" s="111"/>
      <c r="B27" s="198"/>
      <c r="C27" s="199"/>
      <c r="D27" s="180" t="s">
        <v>227</v>
      </c>
      <c r="E27" s="181"/>
      <c r="F27" s="181"/>
      <c r="G27" s="37">
        <v>50</v>
      </c>
      <c r="H27" s="42" t="s">
        <v>228</v>
      </c>
      <c r="I27" s="41">
        <f>SUM(1995.84*48)</f>
        <v>95800.319999999992</v>
      </c>
      <c r="J27" s="38">
        <f t="shared" si="0"/>
        <v>5.8614977973568276</v>
      </c>
      <c r="K27" s="36"/>
      <c r="L27" s="33"/>
      <c r="M27" s="41">
        <f>SUM(138.6*28.8/100*50)</f>
        <v>1995.8399999999997</v>
      </c>
      <c r="N27" s="41">
        <f>SUM(1995.84*48)</f>
        <v>95800.319999999992</v>
      </c>
    </row>
    <row r="28" spans="1:14" ht="15" customHeight="1" x14ac:dyDescent="0.25">
      <c r="A28" s="111"/>
      <c r="B28" s="198"/>
      <c r="C28" s="199"/>
      <c r="D28" s="180" t="s">
        <v>229</v>
      </c>
      <c r="E28" s="181"/>
      <c r="F28" s="181"/>
      <c r="G28" s="37">
        <v>50</v>
      </c>
      <c r="H28" s="42" t="s">
        <v>230</v>
      </c>
      <c r="I28" s="41">
        <f>SUM(2164.32*48)</f>
        <v>103887.36000000002</v>
      </c>
      <c r="J28" s="38">
        <f t="shared" si="0"/>
        <v>6.3562995594713669</v>
      </c>
      <c r="K28" s="36"/>
      <c r="L28" s="33"/>
      <c r="M28" s="41">
        <f>SUM(150.3*28.8/100*50)</f>
        <v>2164.3200000000002</v>
      </c>
      <c r="N28" s="41">
        <f>SUM(2164.32*48)</f>
        <v>103887.36000000002</v>
      </c>
    </row>
    <row r="29" spans="1:14" ht="15" customHeight="1" x14ac:dyDescent="0.25">
      <c r="A29" s="111"/>
      <c r="B29" s="198"/>
      <c r="C29" s="199"/>
      <c r="D29" s="180" t="s">
        <v>169</v>
      </c>
      <c r="E29" s="181"/>
      <c r="F29" s="181"/>
      <c r="G29" s="37">
        <v>50</v>
      </c>
      <c r="H29" s="42" t="s">
        <v>170</v>
      </c>
      <c r="I29" s="41">
        <f>SUM(1526.4*48)</f>
        <v>73267.200000000012</v>
      </c>
      <c r="J29" s="38">
        <f t="shared" si="0"/>
        <v>4.4828193832599128</v>
      </c>
      <c r="K29" s="36"/>
      <c r="L29" s="33"/>
      <c r="M29" s="41">
        <f>SUM(106*28.8/100*50)</f>
        <v>1526.4</v>
      </c>
      <c r="N29" s="41">
        <f>SUM(1526.4*48)</f>
        <v>73267.200000000012</v>
      </c>
    </row>
    <row r="30" spans="1:14" ht="15" customHeight="1" x14ac:dyDescent="0.25">
      <c r="A30" s="111"/>
      <c r="B30" s="198"/>
      <c r="C30" s="199"/>
      <c r="D30" s="180" t="s">
        <v>171</v>
      </c>
      <c r="E30" s="181"/>
      <c r="F30" s="181"/>
      <c r="G30" s="37">
        <v>50</v>
      </c>
      <c r="H30" s="42" t="s">
        <v>172</v>
      </c>
      <c r="I30" s="41">
        <f>SUM(1411.2*48)</f>
        <v>67737.600000000006</v>
      </c>
      <c r="J30" s="38">
        <f t="shared" si="0"/>
        <v>4.1444933920704852</v>
      </c>
      <c r="K30" s="36"/>
      <c r="L30" s="33"/>
      <c r="M30" s="41">
        <f>SUM(98*28.8/100*50)</f>
        <v>1411.2</v>
      </c>
      <c r="N30" s="41">
        <f>SUM(1411.2*48)</f>
        <v>67737.600000000006</v>
      </c>
    </row>
    <row r="31" spans="1:14" ht="15" customHeight="1" x14ac:dyDescent="0.25">
      <c r="A31" s="111"/>
      <c r="B31" s="198"/>
      <c r="C31" s="199"/>
      <c r="D31" s="180" t="s">
        <v>173</v>
      </c>
      <c r="E31" s="181"/>
      <c r="F31" s="181"/>
      <c r="G31" s="37">
        <v>50</v>
      </c>
      <c r="H31" s="42" t="s">
        <v>174</v>
      </c>
      <c r="I31" s="41">
        <f>SUM(1353.6*48)</f>
        <v>64972.799999999996</v>
      </c>
      <c r="J31" s="38">
        <f t="shared" si="0"/>
        <v>3.9753303964757705</v>
      </c>
      <c r="K31" s="36"/>
      <c r="L31" s="33"/>
      <c r="M31" s="41">
        <f>SUM(94*28.8/100*50)</f>
        <v>1353.6000000000001</v>
      </c>
      <c r="N31" s="41">
        <f>SUM(1353.6*48)</f>
        <v>64972.799999999996</v>
      </c>
    </row>
    <row r="32" spans="1:14" ht="15" customHeight="1" x14ac:dyDescent="0.25">
      <c r="A32" s="111"/>
      <c r="B32" s="198"/>
      <c r="C32" s="199"/>
      <c r="D32" s="180" t="s">
        <v>234</v>
      </c>
      <c r="E32" s="181"/>
      <c r="F32" s="181"/>
      <c r="G32" s="37">
        <v>50</v>
      </c>
      <c r="H32" s="42" t="s">
        <v>175</v>
      </c>
      <c r="I32" s="41">
        <f>SUM(1346.8*48)</f>
        <v>64646.399999999994</v>
      </c>
      <c r="J32" s="38">
        <f t="shared" si="0"/>
        <v>3.9553597650513947</v>
      </c>
      <c r="K32" s="43" t="s">
        <v>81</v>
      </c>
      <c r="L32" s="92" t="s">
        <v>179</v>
      </c>
      <c r="M32" s="41">
        <f>SUM(104*25.9/100*50)</f>
        <v>1346.8</v>
      </c>
      <c r="N32" s="41">
        <f>SUM(1346.8*48)</f>
        <v>64646.399999999994</v>
      </c>
    </row>
    <row r="33" spans="1:14" ht="15" customHeight="1" x14ac:dyDescent="0.25">
      <c r="A33" s="111"/>
      <c r="B33" s="198"/>
      <c r="C33" s="199"/>
      <c r="D33" s="180" t="s">
        <v>235</v>
      </c>
      <c r="E33" s="181"/>
      <c r="F33" s="181"/>
      <c r="G33" s="37">
        <v>50</v>
      </c>
      <c r="H33" s="42" t="s">
        <v>231</v>
      </c>
      <c r="I33" s="41">
        <f>SUM(1691.27*48)</f>
        <v>81180.959999999992</v>
      </c>
      <c r="J33" s="38">
        <f t="shared" si="0"/>
        <v>4.9670190895741548</v>
      </c>
      <c r="K33" s="43" t="s">
        <v>82</v>
      </c>
      <c r="L33" s="92" t="s">
        <v>180</v>
      </c>
      <c r="M33" s="41">
        <f>SUM(130.6*25.9/100*50)</f>
        <v>1691.2699999999998</v>
      </c>
      <c r="N33" s="41">
        <f>SUM(1691.27*48)</f>
        <v>81180.959999999992</v>
      </c>
    </row>
    <row r="34" spans="1:14" ht="15" customHeight="1" x14ac:dyDescent="0.25">
      <c r="A34" s="111"/>
      <c r="B34" s="198"/>
      <c r="C34" s="199"/>
      <c r="D34" s="180" t="s">
        <v>236</v>
      </c>
      <c r="E34" s="181"/>
      <c r="F34" s="181"/>
      <c r="G34" s="37">
        <v>50</v>
      </c>
      <c r="H34" s="42" t="s">
        <v>176</v>
      </c>
      <c r="I34" s="41">
        <f>SUM(1463.35*48)</f>
        <v>70240.799999999988</v>
      </c>
      <c r="J34" s="38">
        <f t="shared" si="0"/>
        <v>4.2976505139500727</v>
      </c>
      <c r="K34" s="45"/>
      <c r="L34" s="87"/>
      <c r="M34" s="41">
        <f>SUM(113*25.9/100*50)</f>
        <v>1463.35</v>
      </c>
      <c r="N34" s="41">
        <f>SUM(1463.35*48)</f>
        <v>70240.799999999988</v>
      </c>
    </row>
    <row r="35" spans="1:14" ht="15" customHeight="1" x14ac:dyDescent="0.25">
      <c r="A35" s="111"/>
      <c r="B35" s="198"/>
      <c r="C35" s="199"/>
      <c r="D35" s="180" t="s">
        <v>237</v>
      </c>
      <c r="E35" s="181"/>
      <c r="F35" s="181"/>
      <c r="G35" s="37">
        <v>50</v>
      </c>
      <c r="H35" s="42" t="s">
        <v>177</v>
      </c>
      <c r="I35" s="41">
        <f>SUM(1372.7*48)</f>
        <v>65889.600000000006</v>
      </c>
      <c r="J35" s="38">
        <f t="shared" si="0"/>
        <v>4.0314243759177684</v>
      </c>
      <c r="K35" s="45"/>
      <c r="L35" s="87"/>
      <c r="M35" s="41">
        <f>SUM(106*25.9/100*50)</f>
        <v>1372.6999999999998</v>
      </c>
      <c r="N35" s="41">
        <f>SUM(1372.7*48)</f>
        <v>65889.600000000006</v>
      </c>
    </row>
    <row r="36" spans="1:14" ht="15" customHeight="1" x14ac:dyDescent="0.25">
      <c r="A36" s="111"/>
      <c r="B36" s="198"/>
      <c r="C36" s="199"/>
      <c r="D36" s="180" t="s">
        <v>239</v>
      </c>
      <c r="E36" s="181"/>
      <c r="F36" s="181"/>
      <c r="G36" s="37">
        <v>50</v>
      </c>
      <c r="H36" s="42" t="s">
        <v>240</v>
      </c>
      <c r="I36" s="41">
        <f>SUM(1269.1*48)</f>
        <v>60916.799999999996</v>
      </c>
      <c r="J36" s="38">
        <f t="shared" si="0"/>
        <v>3.7271659324522757</v>
      </c>
      <c r="K36" s="45"/>
      <c r="L36" s="87"/>
      <c r="M36" s="41">
        <f>SUM(98*25.9/100*50)</f>
        <v>1269.0999999999999</v>
      </c>
      <c r="N36" s="41">
        <f>SUM(1269.1*48)</f>
        <v>60916.799999999996</v>
      </c>
    </row>
    <row r="37" spans="1:14" ht="15" customHeight="1" x14ac:dyDescent="0.25">
      <c r="A37" s="111"/>
      <c r="B37" s="198"/>
      <c r="C37" s="199"/>
      <c r="D37" s="180" t="s">
        <v>238</v>
      </c>
      <c r="E37" s="181"/>
      <c r="F37" s="181"/>
      <c r="G37" s="37">
        <v>50</v>
      </c>
      <c r="H37" s="42" t="s">
        <v>178</v>
      </c>
      <c r="I37" s="41">
        <f>SUM(1217.3*48)</f>
        <v>58430.399999999994</v>
      </c>
      <c r="J37" s="38">
        <f t="shared" si="0"/>
        <v>3.5750367107195298</v>
      </c>
      <c r="K37" s="45"/>
      <c r="L37" s="87"/>
      <c r="M37" s="41">
        <f>SUM(94*25.9/100*50)</f>
        <v>1217.3</v>
      </c>
      <c r="N37" s="41">
        <f>SUM(1217.3*48)</f>
        <v>58430.399999999994</v>
      </c>
    </row>
    <row r="38" spans="1:14" ht="15.75" x14ac:dyDescent="0.25">
      <c r="A38" s="36"/>
      <c r="B38" s="198"/>
      <c r="C38" s="199"/>
      <c r="D38" s="202" t="s">
        <v>83</v>
      </c>
      <c r="E38" s="203"/>
      <c r="F38" s="203"/>
      <c r="G38" s="203"/>
      <c r="H38" s="204"/>
      <c r="I38" s="128">
        <f>SUM(I7:I37)</f>
        <v>1921147.2000000002</v>
      </c>
      <c r="J38" s="128">
        <f>SUM(J7:J37)</f>
        <v>117.54449339207049</v>
      </c>
      <c r="K38" s="44"/>
      <c r="L38" s="33"/>
      <c r="M38" s="39"/>
      <c r="N38" s="93">
        <f>SUM(N7:N37)</f>
        <v>1921147.2000000002</v>
      </c>
    </row>
    <row r="39" spans="1:14" ht="15" customHeight="1" x14ac:dyDescent="0.25">
      <c r="A39" s="36"/>
      <c r="B39" s="198"/>
      <c r="C39" s="199"/>
      <c r="D39" s="205" t="s">
        <v>232</v>
      </c>
      <c r="E39" s="206"/>
      <c r="F39" s="206"/>
      <c r="G39" s="206"/>
      <c r="H39" s="207"/>
      <c r="I39" s="38"/>
      <c r="J39" s="36"/>
      <c r="K39" s="36"/>
      <c r="L39" s="33"/>
    </row>
    <row r="40" spans="1:14" ht="15" x14ac:dyDescent="0.25">
      <c r="A40" s="36"/>
      <c r="B40" s="200"/>
      <c r="C40" s="201"/>
      <c r="D40" s="177" t="s">
        <v>84</v>
      </c>
      <c r="E40" s="178"/>
      <c r="F40" s="178"/>
      <c r="G40" s="178"/>
      <c r="H40" s="179"/>
      <c r="I40" s="128">
        <f>SUM(I38)</f>
        <v>1921147.2000000002</v>
      </c>
      <c r="J40" s="45"/>
      <c r="K40" s="45"/>
      <c r="L40" s="33"/>
    </row>
    <row r="41" spans="1:14" ht="15" x14ac:dyDescent="0.25">
      <c r="A41" s="40"/>
      <c r="B41" s="46"/>
      <c r="C41" s="47"/>
      <c r="D41" s="182" t="s">
        <v>241</v>
      </c>
      <c r="E41" s="183"/>
      <c r="F41" s="183"/>
      <c r="G41" s="183"/>
      <c r="H41" s="184"/>
      <c r="I41" s="48">
        <f>SUM(J38)</f>
        <v>117.54449339207049</v>
      </c>
      <c r="J41" s="49"/>
      <c r="K41" s="49"/>
      <c r="L41" s="33"/>
    </row>
    <row r="42" spans="1:14" ht="15" x14ac:dyDescent="0.25">
      <c r="A42" s="40"/>
      <c r="B42" s="129"/>
      <c r="C42" s="129"/>
      <c r="D42" s="131" t="s">
        <v>251</v>
      </c>
      <c r="E42" s="131"/>
      <c r="F42" s="131"/>
      <c r="G42" s="131"/>
      <c r="H42" s="131"/>
      <c r="I42" s="132"/>
      <c r="J42" s="49"/>
      <c r="K42" s="49"/>
      <c r="L42" s="33"/>
    </row>
    <row r="43" spans="1:14" ht="15.75" x14ac:dyDescent="0.25">
      <c r="A43" s="50"/>
      <c r="B43" s="33"/>
      <c r="C43" s="176" t="s">
        <v>247</v>
      </c>
      <c r="D43" s="176"/>
      <c r="E43" s="125"/>
      <c r="F43" s="33" t="s">
        <v>249</v>
      </c>
      <c r="G43" s="176"/>
      <c r="H43" s="176"/>
      <c r="I43" s="188" t="s">
        <v>245</v>
      </c>
      <c r="J43" s="188"/>
      <c r="K43" s="33"/>
      <c r="L43" s="163" t="s">
        <v>250</v>
      </c>
      <c r="M43" s="163"/>
    </row>
    <row r="44" spans="1:14" ht="15" customHeight="1" x14ac:dyDescent="0.25">
      <c r="A44" s="51"/>
      <c r="B44" s="186"/>
      <c r="C44" s="186"/>
      <c r="D44" s="164"/>
      <c r="E44" s="164"/>
      <c r="F44" s="127"/>
      <c r="G44" s="175"/>
      <c r="H44" s="175"/>
      <c r="I44" s="126"/>
      <c r="J44" s="51"/>
      <c r="K44" s="51"/>
      <c r="L44" s="33"/>
      <c r="M44" s="130"/>
    </row>
    <row r="45" spans="1:14" ht="15.75" x14ac:dyDescent="0.25">
      <c r="A45" s="51"/>
      <c r="B45" s="186"/>
      <c r="C45" s="186"/>
      <c r="D45" s="170"/>
      <c r="E45" s="170"/>
      <c r="F45" s="170"/>
      <c r="G45" s="170"/>
      <c r="H45" s="52"/>
      <c r="I45" s="44"/>
      <c r="J45" s="51"/>
      <c r="K45" s="51"/>
      <c r="L45" s="33"/>
    </row>
    <row r="46" spans="1:14" ht="15.75" x14ac:dyDescent="0.25">
      <c r="A46" s="51"/>
      <c r="B46" s="186"/>
      <c r="C46" s="186"/>
      <c r="D46" s="170"/>
      <c r="E46" s="170"/>
      <c r="F46" s="170"/>
      <c r="G46" s="170"/>
      <c r="H46" s="53"/>
      <c r="I46" s="44"/>
      <c r="J46" s="51"/>
      <c r="K46" s="51"/>
      <c r="L46" s="33"/>
    </row>
    <row r="47" spans="1:14" ht="21" customHeight="1" x14ac:dyDescent="0.25">
      <c r="A47" s="51"/>
      <c r="B47" s="186"/>
      <c r="C47" s="186"/>
      <c r="D47" s="170"/>
      <c r="E47" s="187"/>
      <c r="F47" s="187"/>
      <c r="G47" s="187"/>
      <c r="H47" s="54"/>
      <c r="I47" s="44"/>
      <c r="J47" s="51"/>
      <c r="K47" s="51"/>
      <c r="L47" s="124"/>
    </row>
    <row r="48" spans="1:14" ht="21" customHeight="1" x14ac:dyDescent="0.25">
      <c r="A48" s="51"/>
      <c r="B48" s="112"/>
      <c r="C48" s="112"/>
      <c r="D48" s="170"/>
      <c r="E48" s="171"/>
      <c r="F48" s="171"/>
      <c r="G48" s="171"/>
      <c r="H48" s="54"/>
      <c r="I48" s="44"/>
      <c r="J48" s="51"/>
      <c r="K48" s="51"/>
      <c r="L48" s="33"/>
    </row>
    <row r="49" spans="1:12" ht="33" customHeight="1" x14ac:dyDescent="0.25">
      <c r="A49" s="51"/>
      <c r="B49" s="168"/>
      <c r="C49" s="168"/>
      <c r="D49" s="162"/>
      <c r="E49" s="172"/>
      <c r="F49" s="172"/>
      <c r="G49" s="172"/>
      <c r="H49" s="56"/>
      <c r="I49" s="57"/>
      <c r="J49" s="51"/>
      <c r="K49" s="51"/>
      <c r="L49" s="33"/>
    </row>
    <row r="50" spans="1:12" ht="15.75" x14ac:dyDescent="0.25">
      <c r="A50" s="51"/>
      <c r="B50" s="168"/>
      <c r="C50" s="168"/>
      <c r="D50" s="158"/>
      <c r="E50" s="158"/>
      <c r="F50" s="158"/>
      <c r="G50" s="158"/>
      <c r="H50" s="55"/>
      <c r="I50" s="58"/>
      <c r="J50" s="58"/>
      <c r="K50" s="58"/>
      <c r="L50" s="33"/>
    </row>
    <row r="51" spans="1:12" ht="15.75" x14ac:dyDescent="0.25">
      <c r="A51" s="51"/>
      <c r="B51" s="185"/>
      <c r="C51" s="185"/>
      <c r="D51" s="185"/>
      <c r="E51" s="185"/>
      <c r="F51" s="185"/>
      <c r="G51" s="185"/>
      <c r="H51" s="185"/>
      <c r="I51" s="185"/>
      <c r="J51" s="110"/>
      <c r="K51" s="110"/>
      <c r="L51" s="33"/>
    </row>
    <row r="52" spans="1:12" ht="15.75" x14ac:dyDescent="0.25">
      <c r="A52" s="51"/>
      <c r="B52" s="168"/>
      <c r="C52" s="168"/>
      <c r="D52" s="166"/>
      <c r="E52" s="166"/>
      <c r="F52" s="166"/>
      <c r="G52" s="166"/>
      <c r="H52" s="166"/>
      <c r="I52" s="34"/>
      <c r="J52" s="34"/>
      <c r="K52" s="34"/>
      <c r="L52" s="33"/>
    </row>
    <row r="53" spans="1:12" ht="15.75" x14ac:dyDescent="0.25">
      <c r="A53" s="51"/>
      <c r="B53" s="168"/>
      <c r="C53" s="168"/>
      <c r="D53" s="174"/>
      <c r="E53" s="174"/>
      <c r="F53" s="174"/>
      <c r="G53" s="174"/>
      <c r="H53" s="111"/>
      <c r="I53" s="104"/>
      <c r="J53" s="104"/>
      <c r="K53" s="104"/>
      <c r="L53" s="33"/>
    </row>
    <row r="54" spans="1:12" ht="15.75" x14ac:dyDescent="0.25">
      <c r="A54" s="51"/>
      <c r="B54" s="168"/>
      <c r="C54" s="168"/>
      <c r="D54" s="174"/>
      <c r="E54" s="174"/>
      <c r="F54" s="174"/>
      <c r="G54" s="174"/>
      <c r="H54" s="111"/>
      <c r="I54" s="40"/>
      <c r="J54" s="111"/>
      <c r="K54" s="111"/>
      <c r="L54" s="33"/>
    </row>
    <row r="55" spans="1:12" ht="15.75" x14ac:dyDescent="0.25">
      <c r="A55" s="51"/>
      <c r="B55" s="168"/>
      <c r="C55" s="168"/>
      <c r="D55" s="174"/>
      <c r="E55" s="174"/>
      <c r="F55" s="174"/>
      <c r="G55" s="174"/>
      <c r="H55" s="111"/>
      <c r="I55" s="40"/>
      <c r="J55" s="111"/>
      <c r="K55" s="111"/>
      <c r="L55" s="33"/>
    </row>
    <row r="56" spans="1:12" ht="15.75" x14ac:dyDescent="0.25">
      <c r="A56" s="51"/>
      <c r="B56" s="168"/>
      <c r="C56" s="168"/>
      <c r="D56" s="174"/>
      <c r="E56" s="174"/>
      <c r="F56" s="174"/>
      <c r="G56" s="174"/>
      <c r="H56" s="111"/>
      <c r="I56" s="40"/>
      <c r="J56" s="111"/>
      <c r="K56" s="111"/>
      <c r="L56" s="33"/>
    </row>
    <row r="57" spans="1:12" ht="15.75" x14ac:dyDescent="0.25">
      <c r="A57" s="51"/>
      <c r="B57" s="168"/>
      <c r="C57" s="168"/>
      <c r="D57" s="174"/>
      <c r="E57" s="174"/>
      <c r="F57" s="174"/>
      <c r="G57" s="174"/>
      <c r="H57" s="111"/>
      <c r="I57" s="40"/>
      <c r="J57" s="111"/>
      <c r="K57" s="111"/>
      <c r="L57" s="33"/>
    </row>
    <row r="58" spans="1:12" ht="15.75" x14ac:dyDescent="0.25">
      <c r="A58" s="51"/>
      <c r="B58" s="168"/>
      <c r="C58" s="168"/>
      <c r="D58" s="174"/>
      <c r="E58" s="174"/>
      <c r="F58" s="174"/>
      <c r="G58" s="174"/>
      <c r="H58" s="111"/>
      <c r="I58" s="40"/>
      <c r="J58" s="111"/>
      <c r="K58" s="111"/>
      <c r="L58" s="33"/>
    </row>
    <row r="59" spans="1:12" ht="15.75" x14ac:dyDescent="0.25">
      <c r="A59" s="51"/>
      <c r="B59" s="168"/>
      <c r="C59" s="168"/>
      <c r="D59" s="174"/>
      <c r="E59" s="174"/>
      <c r="F59" s="174"/>
      <c r="G59" s="174"/>
      <c r="H59" s="111"/>
      <c r="I59" s="40"/>
      <c r="J59" s="111"/>
      <c r="K59" s="111"/>
      <c r="L59" s="33"/>
    </row>
    <row r="60" spans="1:12" ht="15.75" x14ac:dyDescent="0.25">
      <c r="A60" s="51"/>
      <c r="B60" s="168"/>
      <c r="C60" s="168"/>
      <c r="D60" s="167"/>
      <c r="E60" s="167"/>
      <c r="F60" s="167"/>
      <c r="G60" s="167"/>
      <c r="H60" s="104"/>
      <c r="I60" s="59"/>
      <c r="J60" s="104"/>
      <c r="K60" s="104"/>
      <c r="L60" s="33"/>
    </row>
    <row r="61" spans="1:12" ht="15.75" x14ac:dyDescent="0.25">
      <c r="A61" s="51"/>
      <c r="B61" s="168"/>
      <c r="C61" s="168"/>
      <c r="D61" s="158"/>
      <c r="E61" s="158"/>
      <c r="F61" s="158"/>
      <c r="G61" s="158"/>
      <c r="H61" s="111"/>
      <c r="I61" s="104"/>
      <c r="J61" s="104"/>
      <c r="K61" s="104"/>
      <c r="L61" s="33"/>
    </row>
    <row r="62" spans="1:12" ht="15.75" x14ac:dyDescent="0.25">
      <c r="A62" s="33"/>
      <c r="B62" s="169"/>
      <c r="C62" s="169"/>
      <c r="D62" s="169"/>
      <c r="E62" s="169"/>
      <c r="F62" s="169"/>
      <c r="G62" s="169"/>
      <c r="H62" s="169"/>
      <c r="I62" s="169"/>
      <c r="J62" s="109"/>
      <c r="K62" s="109"/>
      <c r="L62" s="33"/>
    </row>
    <row r="63" spans="1:12" ht="15.75" x14ac:dyDescent="0.25">
      <c r="A63" s="51"/>
      <c r="B63" s="152"/>
      <c r="C63" s="152"/>
      <c r="D63" s="152"/>
      <c r="E63" s="152"/>
      <c r="F63" s="152"/>
      <c r="G63" s="173"/>
      <c r="H63" s="173"/>
      <c r="I63" s="34"/>
      <c r="J63" s="34"/>
      <c r="K63" s="34"/>
      <c r="L63" s="33"/>
    </row>
    <row r="64" spans="1:12" ht="30.75" customHeight="1" x14ac:dyDescent="0.25">
      <c r="A64" s="51"/>
      <c r="B64" s="151"/>
      <c r="C64" s="151"/>
      <c r="D64" s="164"/>
      <c r="E64" s="164"/>
      <c r="F64" s="61"/>
      <c r="G64" s="165"/>
      <c r="H64" s="165"/>
      <c r="I64" s="44"/>
      <c r="J64" s="51"/>
      <c r="K64" s="51"/>
      <c r="L64" s="33"/>
    </row>
    <row r="65" spans="1:12" ht="15.75" x14ac:dyDescent="0.25">
      <c r="A65" s="51"/>
      <c r="B65" s="151"/>
      <c r="C65" s="151"/>
      <c r="D65" s="166"/>
      <c r="E65" s="166"/>
      <c r="F65" s="61"/>
      <c r="G65" s="165"/>
      <c r="H65" s="165"/>
      <c r="I65" s="44"/>
      <c r="J65" s="51"/>
      <c r="K65" s="51"/>
      <c r="L65" s="33"/>
    </row>
    <row r="66" spans="1:12" ht="15.75" x14ac:dyDescent="0.25">
      <c r="A66" s="33"/>
      <c r="B66" s="151"/>
      <c r="C66" s="151"/>
      <c r="D66" s="166"/>
      <c r="E66" s="166"/>
      <c r="F66" s="61"/>
      <c r="G66" s="165"/>
      <c r="H66" s="165"/>
      <c r="I66" s="44"/>
      <c r="J66" s="51"/>
      <c r="K66" s="51"/>
      <c r="L66" s="33"/>
    </row>
    <row r="67" spans="1:12" ht="15.75" x14ac:dyDescent="0.25">
      <c r="A67" s="120"/>
      <c r="B67" s="151"/>
      <c r="C67" s="151"/>
      <c r="D67" s="166"/>
      <c r="E67" s="166"/>
      <c r="F67" s="61"/>
      <c r="G67" s="165"/>
      <c r="H67" s="165"/>
      <c r="I67" s="44"/>
      <c r="J67" s="51"/>
      <c r="K67" s="51"/>
      <c r="L67" s="33"/>
    </row>
    <row r="68" spans="1:12" ht="15.75" x14ac:dyDescent="0.25">
      <c r="A68" s="108"/>
      <c r="B68" s="101"/>
      <c r="C68" s="101"/>
      <c r="D68" s="62"/>
      <c r="E68" s="62"/>
      <c r="F68" s="63"/>
      <c r="G68" s="160"/>
      <c r="H68" s="161"/>
      <c r="I68" s="56"/>
      <c r="J68" s="105"/>
      <c r="K68" s="105"/>
      <c r="L68" s="33"/>
    </row>
    <row r="69" spans="1:12" ht="15.75" x14ac:dyDescent="0.25">
      <c r="A69" s="108"/>
      <c r="B69" s="101"/>
      <c r="C69" s="101"/>
      <c r="D69" s="158"/>
      <c r="E69" s="159"/>
      <c r="F69" s="159"/>
      <c r="G69" s="162"/>
      <c r="H69" s="163"/>
      <c r="I69" s="56"/>
      <c r="J69" s="105"/>
      <c r="K69" s="105"/>
      <c r="L69" s="33"/>
    </row>
    <row r="70" spans="1:12" ht="18.75" x14ac:dyDescent="0.3">
      <c r="A70" s="33"/>
      <c r="B70" s="101"/>
      <c r="C70" s="101"/>
      <c r="D70" s="62"/>
      <c r="E70" s="62"/>
      <c r="F70" s="103"/>
      <c r="G70" s="103"/>
      <c r="H70" s="33"/>
      <c r="I70" s="33"/>
      <c r="J70" s="33"/>
      <c r="K70" s="33"/>
      <c r="L70" s="33"/>
    </row>
    <row r="71" spans="1:12" ht="15.75" x14ac:dyDescent="0.25">
      <c r="A71" s="51"/>
      <c r="B71" s="152"/>
      <c r="C71" s="152"/>
      <c r="D71" s="152"/>
      <c r="E71" s="152"/>
      <c r="F71" s="152"/>
      <c r="G71" s="152"/>
      <c r="H71" s="152"/>
      <c r="I71" s="34"/>
      <c r="J71" s="34"/>
      <c r="K71" s="34"/>
      <c r="L71" s="33"/>
    </row>
    <row r="72" spans="1:12" ht="15.75" x14ac:dyDescent="0.25">
      <c r="A72" s="33"/>
      <c r="B72" s="155"/>
      <c r="C72" s="155"/>
      <c r="D72" s="156"/>
      <c r="E72" s="156"/>
      <c r="F72" s="156"/>
      <c r="G72" s="157"/>
      <c r="H72" s="157"/>
      <c r="I72" s="44"/>
      <c r="J72" s="51"/>
      <c r="K72" s="51"/>
      <c r="L72" s="33"/>
    </row>
    <row r="73" spans="1:12" ht="15.75" x14ac:dyDescent="0.25">
      <c r="A73" s="33"/>
      <c r="B73" s="106"/>
      <c r="C73" s="106"/>
      <c r="D73" s="158"/>
      <c r="E73" s="159"/>
      <c r="F73" s="159"/>
      <c r="G73" s="157"/>
      <c r="H73" s="157"/>
      <c r="I73" s="58"/>
      <c r="J73" s="58"/>
      <c r="K73" s="58"/>
      <c r="L73" s="33"/>
    </row>
    <row r="74" spans="1:12" ht="18.75" x14ac:dyDescent="0.3">
      <c r="A74" s="33"/>
      <c r="B74" s="101"/>
      <c r="C74" s="101"/>
      <c r="D74" s="62"/>
      <c r="E74" s="62"/>
      <c r="F74" s="103"/>
      <c r="G74" s="103"/>
      <c r="H74" s="33"/>
      <c r="I74" s="33"/>
      <c r="J74" s="33"/>
      <c r="K74" s="33"/>
      <c r="L74" s="33"/>
    </row>
    <row r="75" spans="1:12" ht="15.75" x14ac:dyDescent="0.25">
      <c r="A75" s="33"/>
      <c r="B75" s="152"/>
      <c r="C75" s="152"/>
      <c r="D75" s="152"/>
      <c r="E75" s="152"/>
      <c r="F75" s="152"/>
      <c r="G75" s="152"/>
      <c r="H75" s="152"/>
      <c r="I75" s="34"/>
      <c r="J75" s="34"/>
      <c r="K75" s="34"/>
      <c r="L75" s="33"/>
    </row>
    <row r="76" spans="1:12" ht="15.75" customHeight="1" x14ac:dyDescent="0.25">
      <c r="A76" s="33"/>
      <c r="B76" s="149"/>
      <c r="C76" s="150"/>
      <c r="D76" s="151"/>
      <c r="E76" s="151"/>
      <c r="F76" s="151"/>
      <c r="G76" s="151"/>
      <c r="H76" s="151"/>
      <c r="I76" s="34"/>
      <c r="J76" s="34"/>
      <c r="K76" s="34"/>
      <c r="L76" s="33"/>
    </row>
    <row r="77" spans="1:12" ht="15.75" x14ac:dyDescent="0.25">
      <c r="A77" s="33"/>
      <c r="B77" s="150"/>
      <c r="C77" s="150"/>
      <c r="D77" s="152"/>
      <c r="E77" s="152"/>
      <c r="F77" s="152"/>
      <c r="G77" s="152"/>
      <c r="H77" s="152"/>
      <c r="I77" s="65"/>
      <c r="J77" s="65"/>
      <c r="K77" s="65"/>
      <c r="L77" s="33"/>
    </row>
    <row r="78" spans="1:12" ht="15.75" x14ac:dyDescent="0.2">
      <c r="A78" s="33"/>
      <c r="B78" s="99"/>
      <c r="C78" s="99"/>
      <c r="D78" s="100"/>
      <c r="E78" s="100"/>
      <c r="F78" s="100"/>
      <c r="G78" s="64"/>
      <c r="H78" s="64"/>
      <c r="I78" s="33"/>
      <c r="J78" s="33"/>
      <c r="K78" s="33"/>
      <c r="L78" s="33"/>
    </row>
    <row r="79" spans="1:12" ht="15.75" x14ac:dyDescent="0.25">
      <c r="A79" s="33"/>
      <c r="B79" s="152"/>
      <c r="C79" s="152"/>
      <c r="D79" s="62"/>
      <c r="E79" s="62"/>
      <c r="F79" s="153"/>
      <c r="G79" s="153"/>
      <c r="H79" s="60"/>
      <c r="I79" s="33"/>
      <c r="J79" s="33"/>
      <c r="K79" s="33"/>
      <c r="L79" s="33"/>
    </row>
    <row r="80" spans="1:12" ht="15.75" x14ac:dyDescent="0.25">
      <c r="A80" s="33"/>
      <c r="B80" s="101"/>
      <c r="C80" s="101"/>
      <c r="D80" s="62"/>
      <c r="E80" s="62"/>
      <c r="F80" s="102"/>
      <c r="G80" s="102"/>
      <c r="H80" s="60"/>
      <c r="I80" s="33"/>
      <c r="J80" s="33"/>
      <c r="K80" s="33"/>
      <c r="L80" s="33"/>
    </row>
    <row r="81" spans="1:12" ht="15.75" x14ac:dyDescent="0.25">
      <c r="A81" s="67"/>
      <c r="B81" s="101"/>
      <c r="C81" s="101"/>
      <c r="D81" s="62"/>
      <c r="E81" s="62"/>
      <c r="F81" s="102"/>
      <c r="G81" s="102"/>
      <c r="H81" s="60"/>
      <c r="I81" s="33"/>
      <c r="J81" s="33"/>
      <c r="K81" s="33"/>
      <c r="L81" s="33"/>
    </row>
    <row r="82" spans="1:12" ht="15.75" x14ac:dyDescent="0.25">
      <c r="A82" s="75"/>
      <c r="B82" s="101"/>
      <c r="C82" s="101"/>
      <c r="D82" s="62"/>
      <c r="E82" s="62"/>
      <c r="F82" s="102"/>
      <c r="G82" s="102"/>
      <c r="H82" s="60"/>
      <c r="I82" s="33"/>
      <c r="J82" s="33"/>
      <c r="K82" s="33"/>
      <c r="L82" s="33"/>
    </row>
    <row r="83" spans="1:12" ht="15.75" x14ac:dyDescent="0.25">
      <c r="A83" s="68"/>
      <c r="B83" s="101"/>
      <c r="C83" s="101"/>
      <c r="D83" s="62"/>
      <c r="E83" s="62"/>
      <c r="F83" s="102"/>
      <c r="G83" s="102"/>
      <c r="H83" s="60"/>
      <c r="I83" s="33"/>
      <c r="J83" s="33"/>
      <c r="K83" s="33"/>
      <c r="L83" s="33"/>
    </row>
    <row r="84" spans="1:12" ht="15.75" x14ac:dyDescent="0.25">
      <c r="A84" s="107"/>
      <c r="B84" s="101"/>
      <c r="C84" s="101"/>
      <c r="D84" s="62"/>
      <c r="E84" s="62"/>
      <c r="F84" s="102"/>
      <c r="G84" s="102"/>
      <c r="H84" s="60"/>
      <c r="I84" s="33"/>
      <c r="J84" s="33"/>
      <c r="K84" s="33"/>
      <c r="L84" s="33"/>
    </row>
    <row r="85" spans="1:12" ht="18.75" x14ac:dyDescent="0.3">
      <c r="A85" s="69"/>
      <c r="B85" s="101"/>
      <c r="C85" s="101"/>
      <c r="D85" s="62"/>
      <c r="E85" s="62"/>
      <c r="F85" s="103"/>
      <c r="G85" s="103"/>
      <c r="H85" s="33"/>
      <c r="I85" s="33"/>
      <c r="J85" s="33"/>
      <c r="K85" s="33"/>
      <c r="L85" s="33"/>
    </row>
    <row r="86" spans="1:12" ht="18.75" x14ac:dyDescent="0.3">
      <c r="A86" s="70"/>
      <c r="B86" s="101"/>
      <c r="C86" s="101"/>
      <c r="D86" s="62"/>
      <c r="E86" s="62"/>
      <c r="F86" s="103"/>
      <c r="G86" s="103"/>
      <c r="H86" s="33"/>
      <c r="I86" s="33"/>
      <c r="J86" s="33"/>
      <c r="K86" s="33"/>
      <c r="L86" s="33"/>
    </row>
    <row r="87" spans="1:12" ht="18.75" x14ac:dyDescent="0.3">
      <c r="A87" s="71"/>
      <c r="B87" s="101"/>
      <c r="C87" s="101"/>
      <c r="D87" s="62"/>
      <c r="E87" s="62"/>
      <c r="F87" s="103"/>
      <c r="G87" s="103"/>
      <c r="H87" s="33"/>
      <c r="I87" s="33"/>
      <c r="J87" s="33"/>
      <c r="K87" s="33"/>
      <c r="L87" s="33"/>
    </row>
    <row r="88" spans="1:12" ht="18.75" x14ac:dyDescent="0.3">
      <c r="A88" s="71"/>
      <c r="B88" s="101"/>
      <c r="C88" s="101"/>
      <c r="D88" s="62"/>
      <c r="E88" s="62"/>
      <c r="F88" s="103"/>
      <c r="G88" s="103"/>
      <c r="H88" s="33"/>
      <c r="I88" s="33"/>
      <c r="J88" s="33"/>
      <c r="K88" s="33"/>
      <c r="L88" s="33"/>
    </row>
    <row r="89" spans="1:12" ht="18.75" x14ac:dyDescent="0.3">
      <c r="A89" s="71"/>
      <c r="B89" s="101"/>
      <c r="C89" s="101"/>
      <c r="D89" s="62"/>
      <c r="E89" s="62"/>
      <c r="F89" s="154"/>
      <c r="G89" s="154"/>
      <c r="H89" s="33"/>
      <c r="I89" s="33"/>
      <c r="J89" s="33"/>
      <c r="K89" s="33"/>
      <c r="L89" s="33"/>
    </row>
    <row r="90" spans="1:12" ht="23.25" customHeight="1" x14ac:dyDescent="0.3">
      <c r="A90" s="71"/>
      <c r="B90" s="101"/>
      <c r="C90" s="101"/>
      <c r="D90" s="62"/>
      <c r="E90" s="62"/>
      <c r="F90" s="147"/>
      <c r="G90" s="147"/>
      <c r="H90" s="147"/>
      <c r="I90" s="147"/>
      <c r="J90" s="147"/>
      <c r="K90" s="147"/>
      <c r="L90" s="33"/>
    </row>
    <row r="91" spans="1:12" ht="18.75" x14ac:dyDescent="0.3">
      <c r="A91" s="71"/>
      <c r="B91" s="101"/>
      <c r="C91" s="101"/>
      <c r="D91" s="62"/>
      <c r="E91" s="62"/>
      <c r="F91" s="66"/>
      <c r="G91" s="148"/>
      <c r="H91" s="148"/>
      <c r="I91" s="33"/>
      <c r="J91" s="33"/>
      <c r="K91" s="33"/>
      <c r="L91" s="33"/>
    </row>
    <row r="92" spans="1:12" ht="18.75" x14ac:dyDescent="0.3">
      <c r="A92" s="71"/>
      <c r="B92" s="101"/>
      <c r="C92" s="101"/>
      <c r="D92" s="62"/>
      <c r="E92" s="62"/>
      <c r="F92" s="103"/>
      <c r="G92" s="103"/>
      <c r="H92" s="33"/>
      <c r="I92" s="33"/>
      <c r="J92" s="33"/>
      <c r="K92" s="33"/>
      <c r="L92" s="33"/>
    </row>
    <row r="93" spans="1:12" ht="18.75" x14ac:dyDescent="0.3">
      <c r="A93" s="72"/>
      <c r="B93" s="101"/>
      <c r="C93" s="101"/>
      <c r="D93" s="62"/>
      <c r="E93" s="62"/>
      <c r="F93" s="103"/>
      <c r="G93" s="103"/>
      <c r="H93" s="33"/>
      <c r="I93" s="33"/>
      <c r="J93" s="33"/>
      <c r="K93" s="33"/>
      <c r="L93" s="33"/>
    </row>
    <row r="94" spans="1:12" ht="18.75" x14ac:dyDescent="0.3">
      <c r="A94" s="72"/>
      <c r="B94" s="101"/>
      <c r="C94" s="101"/>
      <c r="D94" s="62"/>
      <c r="E94" s="62"/>
      <c r="F94" s="103"/>
      <c r="G94" s="103"/>
      <c r="H94" s="33"/>
      <c r="I94" s="33"/>
      <c r="J94" s="33"/>
      <c r="K94" s="33"/>
      <c r="L94" s="33"/>
    </row>
    <row r="95" spans="1:12" ht="18.75" x14ac:dyDescent="0.3">
      <c r="A95" s="72"/>
      <c r="B95" s="101"/>
      <c r="C95" s="101"/>
      <c r="D95" s="62"/>
      <c r="E95" s="62"/>
      <c r="F95" s="103"/>
      <c r="G95" s="103"/>
      <c r="H95" s="33"/>
      <c r="I95" s="33"/>
      <c r="J95" s="33"/>
      <c r="K95" s="33"/>
      <c r="L95" s="33"/>
    </row>
    <row r="96" spans="1:12" ht="18.75" x14ac:dyDescent="0.3">
      <c r="A96" s="72"/>
      <c r="B96" s="101"/>
      <c r="C96" s="101"/>
      <c r="D96" s="62"/>
      <c r="E96" s="62"/>
      <c r="F96" s="103"/>
      <c r="G96" s="103"/>
      <c r="H96" s="33"/>
      <c r="I96" s="33"/>
      <c r="J96" s="33"/>
      <c r="K96" s="33"/>
      <c r="L96" s="33"/>
    </row>
    <row r="97" spans="1:12" ht="18.75" x14ac:dyDescent="0.3">
      <c r="A97" s="74"/>
      <c r="B97" s="101"/>
      <c r="C97" s="101"/>
      <c r="D97" s="62"/>
      <c r="E97" s="62"/>
      <c r="F97" s="103"/>
      <c r="G97" s="103"/>
      <c r="H97" s="33"/>
      <c r="I97" s="33"/>
      <c r="J97" s="33"/>
      <c r="K97" s="33"/>
      <c r="L97" s="33"/>
    </row>
    <row r="98" spans="1:12" ht="18.75" x14ac:dyDescent="0.3">
      <c r="A98" s="73"/>
      <c r="B98" s="101"/>
      <c r="C98" s="101"/>
      <c r="D98" s="62"/>
      <c r="E98" s="62"/>
      <c r="F98" s="103"/>
      <c r="G98" s="103"/>
      <c r="H98" s="33"/>
      <c r="I98" s="33"/>
      <c r="J98" s="33"/>
      <c r="K98" s="33"/>
      <c r="L98" s="33"/>
    </row>
    <row r="99" spans="1:12" ht="18.75" x14ac:dyDescent="0.3">
      <c r="A99" s="67"/>
      <c r="B99" s="101"/>
      <c r="C99" s="101"/>
      <c r="D99" s="62"/>
      <c r="E99" s="62"/>
      <c r="F99" s="103"/>
      <c r="G99" s="103"/>
      <c r="H99" s="33"/>
      <c r="I99" s="33"/>
      <c r="J99" s="33"/>
      <c r="K99" s="33"/>
      <c r="L99" s="33"/>
    </row>
    <row r="100" spans="1:12" ht="18.75" x14ac:dyDescent="0.3">
      <c r="A100" s="33"/>
      <c r="B100" s="101"/>
      <c r="C100" s="101"/>
      <c r="D100" s="62"/>
      <c r="E100" s="62"/>
      <c r="F100" s="103"/>
      <c r="G100" s="103"/>
      <c r="H100" s="33"/>
      <c r="I100" s="33"/>
      <c r="J100" s="33"/>
      <c r="K100" s="33"/>
      <c r="L100" s="33"/>
    </row>
    <row r="101" spans="1:12" ht="18.75" customHeight="1" x14ac:dyDescent="0.3">
      <c r="A101" s="33"/>
      <c r="B101" s="101"/>
      <c r="C101" s="101"/>
      <c r="D101" s="62"/>
      <c r="E101" s="62"/>
      <c r="F101" s="103"/>
      <c r="G101" s="103"/>
      <c r="H101" s="33"/>
      <c r="I101" s="33"/>
      <c r="J101" s="33"/>
      <c r="K101" s="33"/>
      <c r="L101" s="33"/>
    </row>
    <row r="102" spans="1:12" ht="18.75" customHeight="1" x14ac:dyDescent="0.3">
      <c r="A102" s="33"/>
      <c r="B102" s="101"/>
      <c r="C102" s="101"/>
      <c r="D102" s="62"/>
      <c r="E102" s="62"/>
      <c r="F102" s="103"/>
      <c r="G102" s="103"/>
      <c r="H102" s="33"/>
      <c r="I102" s="33"/>
      <c r="J102" s="33"/>
      <c r="K102" s="33"/>
      <c r="L102" s="33"/>
    </row>
    <row r="103" spans="1:12" ht="18.75" customHeight="1" x14ac:dyDescent="0.3">
      <c r="A103" s="33"/>
      <c r="B103" s="101"/>
      <c r="C103" s="101"/>
      <c r="D103" s="62"/>
      <c r="E103" s="62"/>
      <c r="F103" s="103"/>
      <c r="G103" s="103"/>
      <c r="H103" s="33"/>
      <c r="I103" s="33"/>
      <c r="J103" s="33"/>
      <c r="K103" s="33"/>
      <c r="L103" s="33"/>
    </row>
    <row r="104" spans="1:12" ht="18.75" customHeight="1" x14ac:dyDescent="0.3">
      <c r="A104" s="33"/>
      <c r="B104" s="101"/>
      <c r="C104" s="101"/>
      <c r="D104" s="62"/>
      <c r="E104" s="62"/>
      <c r="F104" s="103"/>
      <c r="G104" s="103"/>
      <c r="H104" s="33"/>
      <c r="I104" s="33"/>
      <c r="J104" s="33"/>
      <c r="K104" s="33"/>
      <c r="L104" s="33"/>
    </row>
    <row r="105" spans="1:12" ht="18.75" x14ac:dyDescent="0.3">
      <c r="A105" s="33"/>
      <c r="B105" s="101"/>
      <c r="C105" s="101"/>
      <c r="D105" s="62"/>
      <c r="E105" s="62"/>
      <c r="F105" s="103"/>
      <c r="G105" s="103"/>
      <c r="H105" s="33"/>
      <c r="I105" s="33"/>
      <c r="J105" s="33"/>
      <c r="K105" s="33"/>
      <c r="L105" s="33"/>
    </row>
    <row r="106" spans="1:12" ht="56.25" customHeight="1" x14ac:dyDescent="0.3">
      <c r="A106" s="33"/>
      <c r="B106" s="101"/>
      <c r="C106" s="101"/>
      <c r="D106" s="62"/>
      <c r="E106" s="62"/>
      <c r="F106" s="103"/>
      <c r="G106" s="103"/>
      <c r="H106" s="33"/>
      <c r="I106" s="33"/>
      <c r="J106" s="33"/>
      <c r="K106" s="33"/>
      <c r="L106" s="33"/>
    </row>
    <row r="107" spans="1:12" ht="18.75" x14ac:dyDescent="0.3">
      <c r="A107" s="33"/>
      <c r="B107" s="101"/>
      <c r="C107" s="101"/>
      <c r="D107" s="62"/>
      <c r="E107" s="62"/>
      <c r="F107" s="103"/>
      <c r="G107" s="103"/>
      <c r="H107" s="33"/>
      <c r="I107" s="33"/>
      <c r="J107" s="33"/>
      <c r="K107" s="33"/>
      <c r="L107" s="33"/>
    </row>
    <row r="108" spans="1:12" x14ac:dyDescent="0.2">
      <c r="A108" s="33"/>
      <c r="B108" s="33"/>
      <c r="C108" s="33"/>
      <c r="D108" s="33"/>
      <c r="E108" s="33"/>
      <c r="F108" s="33"/>
      <c r="G108" s="33"/>
      <c r="H108" s="33"/>
      <c r="I108" s="33"/>
      <c r="J108" s="33"/>
      <c r="K108" s="33"/>
      <c r="L108" s="33"/>
    </row>
    <row r="109" spans="1:12" x14ac:dyDescent="0.2">
      <c r="A109" s="33"/>
      <c r="B109" s="33"/>
      <c r="C109" s="33"/>
      <c r="D109" s="33"/>
      <c r="E109" s="33"/>
      <c r="F109" s="33"/>
      <c r="G109" s="33"/>
      <c r="H109" s="33"/>
      <c r="I109" s="33"/>
      <c r="J109" s="33"/>
      <c r="K109" s="33"/>
      <c r="L109" s="33"/>
    </row>
    <row r="110" spans="1:12" x14ac:dyDescent="0.2">
      <c r="A110" s="33"/>
      <c r="B110" s="33"/>
      <c r="C110" s="33"/>
      <c r="D110" s="33"/>
      <c r="E110" s="33"/>
      <c r="F110" s="33"/>
      <c r="G110" s="33"/>
      <c r="H110" s="33"/>
      <c r="I110" s="33"/>
      <c r="J110" s="33"/>
      <c r="K110" s="33"/>
      <c r="L110" s="33"/>
    </row>
    <row r="111" spans="1:12" x14ac:dyDescent="0.2">
      <c r="A111" s="33"/>
      <c r="B111" s="33"/>
      <c r="C111" s="33"/>
      <c r="D111" s="33"/>
      <c r="E111" s="33"/>
      <c r="F111" s="33"/>
      <c r="G111" s="33"/>
      <c r="H111" s="33"/>
      <c r="I111" s="33"/>
      <c r="J111" s="33"/>
      <c r="K111" s="33"/>
      <c r="L111" s="33"/>
    </row>
    <row r="112" spans="1:12" x14ac:dyDescent="0.2">
      <c r="A112" s="33"/>
      <c r="B112" s="33"/>
      <c r="C112" s="33"/>
      <c r="D112" s="33"/>
      <c r="E112" s="33"/>
      <c r="F112" s="33"/>
      <c r="G112" s="33"/>
      <c r="H112" s="33"/>
      <c r="I112" s="33"/>
      <c r="J112" s="33"/>
      <c r="K112" s="33"/>
      <c r="L112" s="33"/>
    </row>
    <row r="113" spans="1:12" x14ac:dyDescent="0.2">
      <c r="A113" s="33"/>
      <c r="B113" s="33"/>
      <c r="C113" s="33"/>
      <c r="D113" s="33"/>
      <c r="E113" s="33"/>
      <c r="F113" s="33"/>
      <c r="G113" s="33"/>
      <c r="H113" s="33"/>
      <c r="I113" s="33"/>
      <c r="J113" s="33"/>
      <c r="K113" s="33"/>
      <c r="L113" s="33"/>
    </row>
    <row r="114" spans="1:12" x14ac:dyDescent="0.2">
      <c r="A114" s="33"/>
      <c r="B114" s="33"/>
      <c r="C114" s="33"/>
      <c r="D114" s="33"/>
      <c r="E114" s="33"/>
      <c r="F114" s="33"/>
      <c r="G114" s="33"/>
      <c r="H114" s="33"/>
      <c r="I114" s="33"/>
      <c r="J114" s="33"/>
      <c r="K114" s="33"/>
      <c r="L114" s="33"/>
    </row>
    <row r="115" spans="1:12" x14ac:dyDescent="0.2">
      <c r="A115" s="33"/>
      <c r="B115" s="33"/>
      <c r="C115" s="33"/>
      <c r="D115" s="33"/>
      <c r="E115" s="33"/>
      <c r="F115" s="33"/>
      <c r="G115" s="33"/>
      <c r="H115" s="33"/>
      <c r="I115" s="33"/>
      <c r="J115" s="33"/>
      <c r="K115" s="33"/>
      <c r="L115" s="33"/>
    </row>
    <row r="116" spans="1:12" x14ac:dyDescent="0.2">
      <c r="A116" s="33"/>
      <c r="B116" s="33"/>
      <c r="C116" s="33"/>
      <c r="D116" s="33"/>
      <c r="E116" s="33"/>
      <c r="F116" s="33"/>
      <c r="G116" s="33"/>
      <c r="H116" s="33"/>
      <c r="I116" s="33"/>
      <c r="J116" s="33"/>
      <c r="K116" s="33"/>
      <c r="L116" s="33"/>
    </row>
    <row r="117" spans="1:12" x14ac:dyDescent="0.2">
      <c r="A117" s="33"/>
      <c r="B117" s="33"/>
      <c r="C117" s="33"/>
      <c r="D117" s="33"/>
      <c r="E117" s="33"/>
      <c r="F117" s="33"/>
      <c r="G117" s="33"/>
      <c r="H117" s="33"/>
      <c r="I117" s="33"/>
      <c r="J117" s="33"/>
      <c r="K117" s="33"/>
      <c r="L117" s="33"/>
    </row>
    <row r="118" spans="1:12" x14ac:dyDescent="0.2">
      <c r="A118" s="33"/>
      <c r="B118" s="33"/>
      <c r="C118" s="33"/>
      <c r="D118" s="33"/>
      <c r="E118" s="33"/>
      <c r="F118" s="33"/>
      <c r="G118" s="33"/>
      <c r="H118" s="33"/>
      <c r="I118" s="33"/>
      <c r="J118" s="33"/>
      <c r="K118" s="33"/>
      <c r="L118" s="33"/>
    </row>
    <row r="119" spans="1:12" x14ac:dyDescent="0.2">
      <c r="A119" s="33"/>
      <c r="B119" s="33"/>
      <c r="C119" s="33"/>
      <c r="D119" s="33"/>
      <c r="E119" s="33"/>
      <c r="F119" s="33"/>
      <c r="G119" s="33"/>
      <c r="H119" s="33"/>
      <c r="I119" s="33"/>
      <c r="J119" s="33"/>
      <c r="K119" s="33"/>
      <c r="L119" s="33"/>
    </row>
    <row r="120" spans="1:12" x14ac:dyDescent="0.2">
      <c r="A120" s="33"/>
      <c r="B120" s="33"/>
      <c r="C120" s="33"/>
      <c r="D120" s="33"/>
      <c r="E120" s="33"/>
      <c r="F120" s="33"/>
      <c r="G120" s="33"/>
      <c r="H120" s="33"/>
      <c r="I120" s="33"/>
      <c r="J120" s="33"/>
      <c r="K120" s="33"/>
      <c r="L120" s="33"/>
    </row>
    <row r="121" spans="1:12" x14ac:dyDescent="0.2">
      <c r="A121" s="33"/>
      <c r="B121" s="33"/>
      <c r="C121" s="33"/>
      <c r="D121" s="33"/>
      <c r="E121" s="33"/>
      <c r="F121" s="33"/>
      <c r="G121" s="33"/>
      <c r="H121" s="33"/>
      <c r="I121" s="33"/>
      <c r="J121" s="33"/>
      <c r="K121" s="33"/>
      <c r="L121" s="33"/>
    </row>
    <row r="122" spans="1:12" x14ac:dyDescent="0.2">
      <c r="A122" s="33"/>
      <c r="B122" s="33"/>
      <c r="C122" s="33"/>
      <c r="D122" s="33"/>
      <c r="E122" s="33"/>
      <c r="F122" s="33"/>
      <c r="G122" s="33"/>
      <c r="H122" s="33"/>
      <c r="I122" s="33"/>
      <c r="J122" s="33"/>
      <c r="K122" s="33"/>
      <c r="L122" s="33"/>
    </row>
    <row r="123" spans="1:12" x14ac:dyDescent="0.2">
      <c r="A123" s="33"/>
      <c r="B123" s="33"/>
      <c r="C123" s="33"/>
      <c r="D123" s="33"/>
      <c r="E123" s="33"/>
      <c r="F123" s="33"/>
      <c r="G123" s="33"/>
      <c r="H123" s="33"/>
      <c r="I123" s="33"/>
      <c r="J123" s="33"/>
      <c r="K123" s="33"/>
      <c r="L123" s="33"/>
    </row>
    <row r="124" spans="1:12" x14ac:dyDescent="0.2">
      <c r="A124" s="33"/>
      <c r="B124" s="33"/>
      <c r="C124" s="33"/>
      <c r="D124" s="33"/>
      <c r="E124" s="33"/>
      <c r="F124" s="33"/>
      <c r="G124" s="33"/>
      <c r="H124" s="33"/>
      <c r="I124" s="33"/>
      <c r="J124" s="33"/>
      <c r="K124" s="33"/>
      <c r="L124" s="33"/>
    </row>
    <row r="125" spans="1:12" x14ac:dyDescent="0.2">
      <c r="B125" s="33"/>
      <c r="C125" s="33"/>
      <c r="D125" s="33"/>
      <c r="E125" s="33"/>
      <c r="F125" s="33"/>
      <c r="G125" s="33"/>
      <c r="H125" s="33"/>
      <c r="I125" s="33"/>
      <c r="J125" s="33"/>
      <c r="K125" s="33"/>
      <c r="L125" s="33"/>
    </row>
    <row r="126" spans="1:12" x14ac:dyDescent="0.2">
      <c r="B126" s="33"/>
      <c r="C126" s="33"/>
      <c r="D126" s="33"/>
      <c r="E126" s="33"/>
      <c r="F126" s="33"/>
      <c r="G126" s="33"/>
      <c r="H126" s="33"/>
      <c r="I126" s="33"/>
      <c r="J126" s="33"/>
      <c r="K126" s="33"/>
      <c r="L126" s="33"/>
    </row>
    <row r="127" spans="1:12" x14ac:dyDescent="0.2">
      <c r="B127" s="33"/>
      <c r="C127" s="33"/>
      <c r="D127" s="33"/>
      <c r="E127" s="33"/>
      <c r="F127" s="33"/>
      <c r="G127" s="33"/>
      <c r="H127" s="33"/>
      <c r="I127" s="33"/>
      <c r="J127" s="33"/>
      <c r="K127" s="33"/>
      <c r="L127" s="33"/>
    </row>
    <row r="128" spans="1:12" x14ac:dyDescent="0.2">
      <c r="B128" s="33"/>
      <c r="C128" s="33"/>
      <c r="D128" s="33"/>
      <c r="E128" s="33"/>
      <c r="F128" s="33"/>
      <c r="G128" s="33"/>
      <c r="H128" s="33"/>
      <c r="I128" s="33"/>
      <c r="J128" s="33"/>
      <c r="K128" s="33"/>
      <c r="L128" s="33"/>
    </row>
    <row r="129" spans="2:12" x14ac:dyDescent="0.2">
      <c r="B129" s="33"/>
      <c r="C129" s="33"/>
      <c r="D129" s="33"/>
      <c r="E129" s="33"/>
      <c r="F129" s="33"/>
      <c r="G129" s="33"/>
      <c r="H129" s="33"/>
      <c r="I129" s="33"/>
      <c r="J129" s="33"/>
      <c r="K129" s="33"/>
      <c r="L129" s="33"/>
    </row>
    <row r="130" spans="2:12" x14ac:dyDescent="0.2">
      <c r="B130" s="33"/>
      <c r="C130" s="33"/>
      <c r="D130" s="33"/>
      <c r="E130" s="33"/>
      <c r="F130" s="33"/>
      <c r="G130" s="33"/>
      <c r="H130" s="33"/>
      <c r="I130" s="33"/>
      <c r="J130" s="33"/>
      <c r="K130" s="33"/>
      <c r="L130" s="33"/>
    </row>
    <row r="131" spans="2:12" x14ac:dyDescent="0.2">
      <c r="B131" s="33"/>
      <c r="C131" s="33"/>
      <c r="D131" s="33"/>
      <c r="E131" s="33"/>
      <c r="F131" s="33"/>
      <c r="G131" s="33"/>
      <c r="H131" s="33"/>
      <c r="I131" s="33"/>
      <c r="J131" s="33"/>
      <c r="K131" s="33"/>
      <c r="L131" s="33"/>
    </row>
    <row r="132" spans="2:12" x14ac:dyDescent="0.2">
      <c r="B132" s="33"/>
      <c r="C132" s="33"/>
      <c r="D132" s="33"/>
      <c r="E132" s="33"/>
      <c r="F132" s="33"/>
      <c r="G132" s="33"/>
      <c r="H132" s="33"/>
      <c r="I132" s="33"/>
      <c r="J132" s="33"/>
      <c r="K132" s="33"/>
      <c r="L132" s="33"/>
    </row>
  </sheetData>
  <mergeCells count="103">
    <mergeCell ref="B4:I4"/>
    <mergeCell ref="E5:H5"/>
    <mergeCell ref="B6:C6"/>
    <mergeCell ref="D6:H6"/>
    <mergeCell ref="B7:C40"/>
    <mergeCell ref="D7:F7"/>
    <mergeCell ref="D8:F8"/>
    <mergeCell ref="D9:F9"/>
    <mergeCell ref="D10:F10"/>
    <mergeCell ref="D11:F11"/>
    <mergeCell ref="D23:F23"/>
    <mergeCell ref="D24:F24"/>
    <mergeCell ref="D25:F25"/>
    <mergeCell ref="D26:F26"/>
    <mergeCell ref="D27:F27"/>
    <mergeCell ref="D28:F28"/>
    <mergeCell ref="D17:F17"/>
    <mergeCell ref="D35:F35"/>
    <mergeCell ref="D37:F37"/>
    <mergeCell ref="D38:H38"/>
    <mergeCell ref="D39:H39"/>
    <mergeCell ref="L43:M43"/>
    <mergeCell ref="D12:F12"/>
    <mergeCell ref="D13:F13"/>
    <mergeCell ref="D14:F14"/>
    <mergeCell ref="D15:F15"/>
    <mergeCell ref="D16:F16"/>
    <mergeCell ref="D29:F29"/>
    <mergeCell ref="D30:F30"/>
    <mergeCell ref="D31:F31"/>
    <mergeCell ref="D32:F32"/>
    <mergeCell ref="D33:F33"/>
    <mergeCell ref="D34:F34"/>
    <mergeCell ref="D18:F18"/>
    <mergeCell ref="D19:F19"/>
    <mergeCell ref="D20:F20"/>
    <mergeCell ref="D21:F21"/>
    <mergeCell ref="D22:F22"/>
    <mergeCell ref="G43:H43"/>
    <mergeCell ref="D44:E44"/>
    <mergeCell ref="G44:H44"/>
    <mergeCell ref="C43:D43"/>
    <mergeCell ref="B50:C50"/>
    <mergeCell ref="D50:G50"/>
    <mergeCell ref="D40:H40"/>
    <mergeCell ref="D36:F36"/>
    <mergeCell ref="D41:H41"/>
    <mergeCell ref="B51:I51"/>
    <mergeCell ref="B44:C47"/>
    <mergeCell ref="D45:G45"/>
    <mergeCell ref="D46:G46"/>
    <mergeCell ref="D47:G47"/>
    <mergeCell ref="I43:J43"/>
    <mergeCell ref="D60:G60"/>
    <mergeCell ref="B61:C61"/>
    <mergeCell ref="D61:G61"/>
    <mergeCell ref="B62:I62"/>
    <mergeCell ref="D48:G48"/>
    <mergeCell ref="B49:C49"/>
    <mergeCell ref="D49:G49"/>
    <mergeCell ref="B63:C63"/>
    <mergeCell ref="D63:F63"/>
    <mergeCell ref="G63:H63"/>
    <mergeCell ref="B52:C52"/>
    <mergeCell ref="D52:H52"/>
    <mergeCell ref="B53:C60"/>
    <mergeCell ref="D53:G53"/>
    <mergeCell ref="D54:G54"/>
    <mergeCell ref="D55:G55"/>
    <mergeCell ref="D56:G56"/>
    <mergeCell ref="D57:G57"/>
    <mergeCell ref="D58:G58"/>
    <mergeCell ref="D59:G59"/>
    <mergeCell ref="G68:H68"/>
    <mergeCell ref="D69:F69"/>
    <mergeCell ref="G69:H69"/>
    <mergeCell ref="B71:C71"/>
    <mergeCell ref="D71:F71"/>
    <mergeCell ref="G71:H71"/>
    <mergeCell ref="B64:C67"/>
    <mergeCell ref="D64:E64"/>
    <mergeCell ref="G64:H64"/>
    <mergeCell ref="D65:E65"/>
    <mergeCell ref="G65:H65"/>
    <mergeCell ref="D66:E66"/>
    <mergeCell ref="G66:H66"/>
    <mergeCell ref="D67:E67"/>
    <mergeCell ref="G67:H67"/>
    <mergeCell ref="F90:K90"/>
    <mergeCell ref="G91:H91"/>
    <mergeCell ref="B76:C77"/>
    <mergeCell ref="D76:H76"/>
    <mergeCell ref="D77:H77"/>
    <mergeCell ref="B79:C79"/>
    <mergeCell ref="F79:G79"/>
    <mergeCell ref="F89:G89"/>
    <mergeCell ref="B72:C72"/>
    <mergeCell ref="D72:F72"/>
    <mergeCell ref="G72:H72"/>
    <mergeCell ref="D73:F73"/>
    <mergeCell ref="G73:H73"/>
    <mergeCell ref="B75:C75"/>
    <mergeCell ref="D75:H75"/>
  </mergeCells>
  <pageMargins left="0.59055118110236227" right="0.19685039370078741" top="0.59055118110236227" bottom="0.59055118110236227" header="0.51181102362204722" footer="0.51181102362204722"/>
  <pageSetup paperSize="9" scale="8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7"/>
  <sheetViews>
    <sheetView workbookViewId="0">
      <selection activeCell="M98" sqref="M98"/>
    </sheetView>
  </sheetViews>
  <sheetFormatPr defaultRowHeight="12.75" x14ac:dyDescent="0.2"/>
  <cols>
    <col min="2" max="2" width="18.42578125" customWidth="1"/>
    <col min="3" max="3" width="14.42578125" customWidth="1"/>
    <col min="4" max="4" width="13.5703125" customWidth="1"/>
    <col min="5" max="5" width="14.28515625" customWidth="1"/>
    <col min="7" max="7" width="10.42578125" customWidth="1"/>
    <col min="8" max="8" width="13.42578125" customWidth="1"/>
    <col min="10" max="10" width="9.7109375" customWidth="1"/>
    <col min="11" max="11" width="10.85546875" customWidth="1"/>
    <col min="12" max="12" width="11.7109375" customWidth="1"/>
    <col min="13" max="13" width="13.5703125" customWidth="1"/>
    <col min="16" max="16" width="18.5703125" customWidth="1"/>
    <col min="255" max="255" width="18.42578125" customWidth="1"/>
    <col min="256" max="256" width="14.42578125" customWidth="1"/>
    <col min="257" max="257" width="13.5703125" customWidth="1"/>
    <col min="258" max="258" width="14.28515625" customWidth="1"/>
    <col min="260" max="260" width="10.42578125" customWidth="1"/>
    <col min="261" max="261" width="13.42578125" customWidth="1"/>
    <col min="263" max="263" width="9.7109375" customWidth="1"/>
    <col min="264" max="264" width="10.85546875" customWidth="1"/>
    <col min="268" max="268" width="11.7109375" customWidth="1"/>
    <col min="272" max="272" width="18.5703125" customWidth="1"/>
    <col min="511" max="511" width="18.42578125" customWidth="1"/>
    <col min="512" max="512" width="14.42578125" customWidth="1"/>
    <col min="513" max="513" width="13.5703125" customWidth="1"/>
    <col min="514" max="514" width="14.28515625" customWidth="1"/>
    <col min="516" max="516" width="10.42578125" customWidth="1"/>
    <col min="517" max="517" width="13.42578125" customWidth="1"/>
    <col min="519" max="519" width="9.7109375" customWidth="1"/>
    <col min="520" max="520" width="10.85546875" customWidth="1"/>
    <col min="524" max="524" width="11.7109375" customWidth="1"/>
    <col min="528" max="528" width="18.5703125" customWidth="1"/>
    <col min="767" max="767" width="18.42578125" customWidth="1"/>
    <col min="768" max="768" width="14.42578125" customWidth="1"/>
    <col min="769" max="769" width="13.5703125" customWidth="1"/>
    <col min="770" max="770" width="14.28515625" customWidth="1"/>
    <col min="772" max="772" width="10.42578125" customWidth="1"/>
    <col min="773" max="773" width="13.42578125" customWidth="1"/>
    <col min="775" max="775" width="9.7109375" customWidth="1"/>
    <col min="776" max="776" width="10.85546875" customWidth="1"/>
    <col min="780" max="780" width="11.7109375" customWidth="1"/>
    <col min="784" max="784" width="18.5703125" customWidth="1"/>
    <col min="1023" max="1023" width="18.42578125" customWidth="1"/>
    <col min="1024" max="1024" width="14.42578125" customWidth="1"/>
    <col min="1025" max="1025" width="13.5703125" customWidth="1"/>
    <col min="1026" max="1026" width="14.28515625" customWidth="1"/>
    <col min="1028" max="1028" width="10.42578125" customWidth="1"/>
    <col min="1029" max="1029" width="13.42578125" customWidth="1"/>
    <col min="1031" max="1031" width="9.7109375" customWidth="1"/>
    <col min="1032" max="1032" width="10.85546875" customWidth="1"/>
    <col min="1036" max="1036" width="11.7109375" customWidth="1"/>
    <col min="1040" max="1040" width="18.5703125" customWidth="1"/>
    <col min="1279" max="1279" width="18.42578125" customWidth="1"/>
    <col min="1280" max="1280" width="14.42578125" customWidth="1"/>
    <col min="1281" max="1281" width="13.5703125" customWidth="1"/>
    <col min="1282" max="1282" width="14.28515625" customWidth="1"/>
    <col min="1284" max="1284" width="10.42578125" customWidth="1"/>
    <col min="1285" max="1285" width="13.42578125" customWidth="1"/>
    <col min="1287" max="1287" width="9.7109375" customWidth="1"/>
    <col min="1288" max="1288" width="10.85546875" customWidth="1"/>
    <col min="1292" max="1292" width="11.7109375" customWidth="1"/>
    <col min="1296" max="1296" width="18.5703125" customWidth="1"/>
    <col min="1535" max="1535" width="18.42578125" customWidth="1"/>
    <col min="1536" max="1536" width="14.42578125" customWidth="1"/>
    <col min="1537" max="1537" width="13.5703125" customWidth="1"/>
    <col min="1538" max="1538" width="14.28515625" customWidth="1"/>
    <col min="1540" max="1540" width="10.42578125" customWidth="1"/>
    <col min="1541" max="1541" width="13.42578125" customWidth="1"/>
    <col min="1543" max="1543" width="9.7109375" customWidth="1"/>
    <col min="1544" max="1544" width="10.85546875" customWidth="1"/>
    <col min="1548" max="1548" width="11.7109375" customWidth="1"/>
    <col min="1552" max="1552" width="18.5703125" customWidth="1"/>
    <col min="1791" max="1791" width="18.42578125" customWidth="1"/>
    <col min="1792" max="1792" width="14.42578125" customWidth="1"/>
    <col min="1793" max="1793" width="13.5703125" customWidth="1"/>
    <col min="1794" max="1794" width="14.28515625" customWidth="1"/>
    <col min="1796" max="1796" width="10.42578125" customWidth="1"/>
    <col min="1797" max="1797" width="13.42578125" customWidth="1"/>
    <col min="1799" max="1799" width="9.7109375" customWidth="1"/>
    <col min="1800" max="1800" width="10.85546875" customWidth="1"/>
    <col min="1804" max="1804" width="11.7109375" customWidth="1"/>
    <col min="1808" max="1808" width="18.5703125" customWidth="1"/>
    <col min="2047" max="2047" width="18.42578125" customWidth="1"/>
    <col min="2048" max="2048" width="14.42578125" customWidth="1"/>
    <col min="2049" max="2049" width="13.5703125" customWidth="1"/>
    <col min="2050" max="2050" width="14.28515625" customWidth="1"/>
    <col min="2052" max="2052" width="10.42578125" customWidth="1"/>
    <col min="2053" max="2053" width="13.42578125" customWidth="1"/>
    <col min="2055" max="2055" width="9.7109375" customWidth="1"/>
    <col min="2056" max="2056" width="10.85546875" customWidth="1"/>
    <col min="2060" max="2060" width="11.7109375" customWidth="1"/>
    <col min="2064" max="2064" width="18.5703125" customWidth="1"/>
    <col min="2303" max="2303" width="18.42578125" customWidth="1"/>
    <col min="2304" max="2304" width="14.42578125" customWidth="1"/>
    <col min="2305" max="2305" width="13.5703125" customWidth="1"/>
    <col min="2306" max="2306" width="14.28515625" customWidth="1"/>
    <col min="2308" max="2308" width="10.42578125" customWidth="1"/>
    <col min="2309" max="2309" width="13.42578125" customWidth="1"/>
    <col min="2311" max="2311" width="9.7109375" customWidth="1"/>
    <col min="2312" max="2312" width="10.85546875" customWidth="1"/>
    <col min="2316" max="2316" width="11.7109375" customWidth="1"/>
    <col min="2320" max="2320" width="18.5703125" customWidth="1"/>
    <col min="2559" max="2559" width="18.42578125" customWidth="1"/>
    <col min="2560" max="2560" width="14.42578125" customWidth="1"/>
    <col min="2561" max="2561" width="13.5703125" customWidth="1"/>
    <col min="2562" max="2562" width="14.28515625" customWidth="1"/>
    <col min="2564" max="2564" width="10.42578125" customWidth="1"/>
    <col min="2565" max="2565" width="13.42578125" customWidth="1"/>
    <col min="2567" max="2567" width="9.7109375" customWidth="1"/>
    <col min="2568" max="2568" width="10.85546875" customWidth="1"/>
    <col min="2572" max="2572" width="11.7109375" customWidth="1"/>
    <col min="2576" max="2576" width="18.5703125" customWidth="1"/>
    <col min="2815" max="2815" width="18.42578125" customWidth="1"/>
    <col min="2816" max="2816" width="14.42578125" customWidth="1"/>
    <col min="2817" max="2817" width="13.5703125" customWidth="1"/>
    <col min="2818" max="2818" width="14.28515625" customWidth="1"/>
    <col min="2820" max="2820" width="10.42578125" customWidth="1"/>
    <col min="2821" max="2821" width="13.42578125" customWidth="1"/>
    <col min="2823" max="2823" width="9.7109375" customWidth="1"/>
    <col min="2824" max="2824" width="10.85546875" customWidth="1"/>
    <col min="2828" max="2828" width="11.7109375" customWidth="1"/>
    <col min="2832" max="2832" width="18.5703125" customWidth="1"/>
    <col min="3071" max="3071" width="18.42578125" customWidth="1"/>
    <col min="3072" max="3072" width="14.42578125" customWidth="1"/>
    <col min="3073" max="3073" width="13.5703125" customWidth="1"/>
    <col min="3074" max="3074" width="14.28515625" customWidth="1"/>
    <col min="3076" max="3076" width="10.42578125" customWidth="1"/>
    <col min="3077" max="3077" width="13.42578125" customWidth="1"/>
    <col min="3079" max="3079" width="9.7109375" customWidth="1"/>
    <col min="3080" max="3080" width="10.85546875" customWidth="1"/>
    <col min="3084" max="3084" width="11.7109375" customWidth="1"/>
    <col min="3088" max="3088" width="18.5703125" customWidth="1"/>
    <col min="3327" max="3327" width="18.42578125" customWidth="1"/>
    <col min="3328" max="3328" width="14.42578125" customWidth="1"/>
    <col min="3329" max="3329" width="13.5703125" customWidth="1"/>
    <col min="3330" max="3330" width="14.28515625" customWidth="1"/>
    <col min="3332" max="3332" width="10.42578125" customWidth="1"/>
    <col min="3333" max="3333" width="13.42578125" customWidth="1"/>
    <col min="3335" max="3335" width="9.7109375" customWidth="1"/>
    <col min="3336" max="3336" width="10.85546875" customWidth="1"/>
    <col min="3340" max="3340" width="11.7109375" customWidth="1"/>
    <col min="3344" max="3344" width="18.5703125" customWidth="1"/>
    <col min="3583" max="3583" width="18.42578125" customWidth="1"/>
    <col min="3584" max="3584" width="14.42578125" customWidth="1"/>
    <col min="3585" max="3585" width="13.5703125" customWidth="1"/>
    <col min="3586" max="3586" width="14.28515625" customWidth="1"/>
    <col min="3588" max="3588" width="10.42578125" customWidth="1"/>
    <col min="3589" max="3589" width="13.42578125" customWidth="1"/>
    <col min="3591" max="3591" width="9.7109375" customWidth="1"/>
    <col min="3592" max="3592" width="10.85546875" customWidth="1"/>
    <col min="3596" max="3596" width="11.7109375" customWidth="1"/>
    <col min="3600" max="3600" width="18.5703125" customWidth="1"/>
    <col min="3839" max="3839" width="18.42578125" customWidth="1"/>
    <col min="3840" max="3840" width="14.42578125" customWidth="1"/>
    <col min="3841" max="3841" width="13.5703125" customWidth="1"/>
    <col min="3842" max="3842" width="14.28515625" customWidth="1"/>
    <col min="3844" max="3844" width="10.42578125" customWidth="1"/>
    <col min="3845" max="3845" width="13.42578125" customWidth="1"/>
    <col min="3847" max="3847" width="9.7109375" customWidth="1"/>
    <col min="3848" max="3848" width="10.85546875" customWidth="1"/>
    <col min="3852" max="3852" width="11.7109375" customWidth="1"/>
    <col min="3856" max="3856" width="18.5703125" customWidth="1"/>
    <col min="4095" max="4095" width="18.42578125" customWidth="1"/>
    <col min="4096" max="4096" width="14.42578125" customWidth="1"/>
    <col min="4097" max="4097" width="13.5703125" customWidth="1"/>
    <col min="4098" max="4098" width="14.28515625" customWidth="1"/>
    <col min="4100" max="4100" width="10.42578125" customWidth="1"/>
    <col min="4101" max="4101" width="13.42578125" customWidth="1"/>
    <col min="4103" max="4103" width="9.7109375" customWidth="1"/>
    <col min="4104" max="4104" width="10.85546875" customWidth="1"/>
    <col min="4108" max="4108" width="11.7109375" customWidth="1"/>
    <col min="4112" max="4112" width="18.5703125" customWidth="1"/>
    <col min="4351" max="4351" width="18.42578125" customWidth="1"/>
    <col min="4352" max="4352" width="14.42578125" customWidth="1"/>
    <col min="4353" max="4353" width="13.5703125" customWidth="1"/>
    <col min="4354" max="4354" width="14.28515625" customWidth="1"/>
    <col min="4356" max="4356" width="10.42578125" customWidth="1"/>
    <col min="4357" max="4357" width="13.42578125" customWidth="1"/>
    <col min="4359" max="4359" width="9.7109375" customWidth="1"/>
    <col min="4360" max="4360" width="10.85546875" customWidth="1"/>
    <col min="4364" max="4364" width="11.7109375" customWidth="1"/>
    <col min="4368" max="4368" width="18.5703125" customWidth="1"/>
    <col min="4607" max="4607" width="18.42578125" customWidth="1"/>
    <col min="4608" max="4608" width="14.42578125" customWidth="1"/>
    <col min="4609" max="4609" width="13.5703125" customWidth="1"/>
    <col min="4610" max="4610" width="14.28515625" customWidth="1"/>
    <col min="4612" max="4612" width="10.42578125" customWidth="1"/>
    <col min="4613" max="4613" width="13.42578125" customWidth="1"/>
    <col min="4615" max="4615" width="9.7109375" customWidth="1"/>
    <col min="4616" max="4616" width="10.85546875" customWidth="1"/>
    <col min="4620" max="4620" width="11.7109375" customWidth="1"/>
    <col min="4624" max="4624" width="18.5703125" customWidth="1"/>
    <col min="4863" max="4863" width="18.42578125" customWidth="1"/>
    <col min="4864" max="4864" width="14.42578125" customWidth="1"/>
    <col min="4865" max="4865" width="13.5703125" customWidth="1"/>
    <col min="4866" max="4866" width="14.28515625" customWidth="1"/>
    <col min="4868" max="4868" width="10.42578125" customWidth="1"/>
    <col min="4869" max="4869" width="13.42578125" customWidth="1"/>
    <col min="4871" max="4871" width="9.7109375" customWidth="1"/>
    <col min="4872" max="4872" width="10.85546875" customWidth="1"/>
    <col min="4876" max="4876" width="11.7109375" customWidth="1"/>
    <col min="4880" max="4880" width="18.5703125" customWidth="1"/>
    <col min="5119" max="5119" width="18.42578125" customWidth="1"/>
    <col min="5120" max="5120" width="14.42578125" customWidth="1"/>
    <col min="5121" max="5121" width="13.5703125" customWidth="1"/>
    <col min="5122" max="5122" width="14.28515625" customWidth="1"/>
    <col min="5124" max="5124" width="10.42578125" customWidth="1"/>
    <col min="5125" max="5125" width="13.42578125" customWidth="1"/>
    <col min="5127" max="5127" width="9.7109375" customWidth="1"/>
    <col min="5128" max="5128" width="10.85546875" customWidth="1"/>
    <col min="5132" max="5132" width="11.7109375" customWidth="1"/>
    <col min="5136" max="5136" width="18.5703125" customWidth="1"/>
    <col min="5375" max="5375" width="18.42578125" customWidth="1"/>
    <col min="5376" max="5376" width="14.42578125" customWidth="1"/>
    <col min="5377" max="5377" width="13.5703125" customWidth="1"/>
    <col min="5378" max="5378" width="14.28515625" customWidth="1"/>
    <col min="5380" max="5380" width="10.42578125" customWidth="1"/>
    <col min="5381" max="5381" width="13.42578125" customWidth="1"/>
    <col min="5383" max="5383" width="9.7109375" customWidth="1"/>
    <col min="5384" max="5384" width="10.85546875" customWidth="1"/>
    <col min="5388" max="5388" width="11.7109375" customWidth="1"/>
    <col min="5392" max="5392" width="18.5703125" customWidth="1"/>
    <col min="5631" max="5631" width="18.42578125" customWidth="1"/>
    <col min="5632" max="5632" width="14.42578125" customWidth="1"/>
    <col min="5633" max="5633" width="13.5703125" customWidth="1"/>
    <col min="5634" max="5634" width="14.28515625" customWidth="1"/>
    <col min="5636" max="5636" width="10.42578125" customWidth="1"/>
    <col min="5637" max="5637" width="13.42578125" customWidth="1"/>
    <col min="5639" max="5639" width="9.7109375" customWidth="1"/>
    <col min="5640" max="5640" width="10.85546875" customWidth="1"/>
    <col min="5644" max="5644" width="11.7109375" customWidth="1"/>
    <col min="5648" max="5648" width="18.5703125" customWidth="1"/>
    <col min="5887" max="5887" width="18.42578125" customWidth="1"/>
    <col min="5888" max="5888" width="14.42578125" customWidth="1"/>
    <col min="5889" max="5889" width="13.5703125" customWidth="1"/>
    <col min="5890" max="5890" width="14.28515625" customWidth="1"/>
    <col min="5892" max="5892" width="10.42578125" customWidth="1"/>
    <col min="5893" max="5893" width="13.42578125" customWidth="1"/>
    <col min="5895" max="5895" width="9.7109375" customWidth="1"/>
    <col min="5896" max="5896" width="10.85546875" customWidth="1"/>
    <col min="5900" max="5900" width="11.7109375" customWidth="1"/>
    <col min="5904" max="5904" width="18.5703125" customWidth="1"/>
    <col min="6143" max="6143" width="18.42578125" customWidth="1"/>
    <col min="6144" max="6144" width="14.42578125" customWidth="1"/>
    <col min="6145" max="6145" width="13.5703125" customWidth="1"/>
    <col min="6146" max="6146" width="14.28515625" customWidth="1"/>
    <col min="6148" max="6148" width="10.42578125" customWidth="1"/>
    <col min="6149" max="6149" width="13.42578125" customWidth="1"/>
    <col min="6151" max="6151" width="9.7109375" customWidth="1"/>
    <col min="6152" max="6152" width="10.85546875" customWidth="1"/>
    <col min="6156" max="6156" width="11.7109375" customWidth="1"/>
    <col min="6160" max="6160" width="18.5703125" customWidth="1"/>
    <col min="6399" max="6399" width="18.42578125" customWidth="1"/>
    <col min="6400" max="6400" width="14.42578125" customWidth="1"/>
    <col min="6401" max="6401" width="13.5703125" customWidth="1"/>
    <col min="6402" max="6402" width="14.28515625" customWidth="1"/>
    <col min="6404" max="6404" width="10.42578125" customWidth="1"/>
    <col min="6405" max="6405" width="13.42578125" customWidth="1"/>
    <col min="6407" max="6407" width="9.7109375" customWidth="1"/>
    <col min="6408" max="6408" width="10.85546875" customWidth="1"/>
    <col min="6412" max="6412" width="11.7109375" customWidth="1"/>
    <col min="6416" max="6416" width="18.5703125" customWidth="1"/>
    <col min="6655" max="6655" width="18.42578125" customWidth="1"/>
    <col min="6656" max="6656" width="14.42578125" customWidth="1"/>
    <col min="6657" max="6657" width="13.5703125" customWidth="1"/>
    <col min="6658" max="6658" width="14.28515625" customWidth="1"/>
    <col min="6660" max="6660" width="10.42578125" customWidth="1"/>
    <col min="6661" max="6661" width="13.42578125" customWidth="1"/>
    <col min="6663" max="6663" width="9.7109375" customWidth="1"/>
    <col min="6664" max="6664" width="10.85546875" customWidth="1"/>
    <col min="6668" max="6668" width="11.7109375" customWidth="1"/>
    <col min="6672" max="6672" width="18.5703125" customWidth="1"/>
    <col min="6911" max="6911" width="18.42578125" customWidth="1"/>
    <col min="6912" max="6912" width="14.42578125" customWidth="1"/>
    <col min="6913" max="6913" width="13.5703125" customWidth="1"/>
    <col min="6914" max="6914" width="14.28515625" customWidth="1"/>
    <col min="6916" max="6916" width="10.42578125" customWidth="1"/>
    <col min="6917" max="6917" width="13.42578125" customWidth="1"/>
    <col min="6919" max="6919" width="9.7109375" customWidth="1"/>
    <col min="6920" max="6920" width="10.85546875" customWidth="1"/>
    <col min="6924" max="6924" width="11.7109375" customWidth="1"/>
    <col min="6928" max="6928" width="18.5703125" customWidth="1"/>
    <col min="7167" max="7167" width="18.42578125" customWidth="1"/>
    <col min="7168" max="7168" width="14.42578125" customWidth="1"/>
    <col min="7169" max="7169" width="13.5703125" customWidth="1"/>
    <col min="7170" max="7170" width="14.28515625" customWidth="1"/>
    <col min="7172" max="7172" width="10.42578125" customWidth="1"/>
    <col min="7173" max="7173" width="13.42578125" customWidth="1"/>
    <col min="7175" max="7175" width="9.7109375" customWidth="1"/>
    <col min="7176" max="7176" width="10.85546875" customWidth="1"/>
    <col min="7180" max="7180" width="11.7109375" customWidth="1"/>
    <col min="7184" max="7184" width="18.5703125" customWidth="1"/>
    <col min="7423" max="7423" width="18.42578125" customWidth="1"/>
    <col min="7424" max="7424" width="14.42578125" customWidth="1"/>
    <col min="7425" max="7425" width="13.5703125" customWidth="1"/>
    <col min="7426" max="7426" width="14.28515625" customWidth="1"/>
    <col min="7428" max="7428" width="10.42578125" customWidth="1"/>
    <col min="7429" max="7429" width="13.42578125" customWidth="1"/>
    <col min="7431" max="7431" width="9.7109375" customWidth="1"/>
    <col min="7432" max="7432" width="10.85546875" customWidth="1"/>
    <col min="7436" max="7436" width="11.7109375" customWidth="1"/>
    <col min="7440" max="7440" width="18.5703125" customWidth="1"/>
    <col min="7679" max="7679" width="18.42578125" customWidth="1"/>
    <col min="7680" max="7680" width="14.42578125" customWidth="1"/>
    <col min="7681" max="7681" width="13.5703125" customWidth="1"/>
    <col min="7682" max="7682" width="14.28515625" customWidth="1"/>
    <col min="7684" max="7684" width="10.42578125" customWidth="1"/>
    <col min="7685" max="7685" width="13.42578125" customWidth="1"/>
    <col min="7687" max="7687" width="9.7109375" customWidth="1"/>
    <col min="7688" max="7688" width="10.85546875" customWidth="1"/>
    <col min="7692" max="7692" width="11.7109375" customWidth="1"/>
    <col min="7696" max="7696" width="18.5703125" customWidth="1"/>
    <col min="7935" max="7935" width="18.42578125" customWidth="1"/>
    <col min="7936" max="7936" width="14.42578125" customWidth="1"/>
    <col min="7937" max="7937" width="13.5703125" customWidth="1"/>
    <col min="7938" max="7938" width="14.28515625" customWidth="1"/>
    <col min="7940" max="7940" width="10.42578125" customWidth="1"/>
    <col min="7941" max="7941" width="13.42578125" customWidth="1"/>
    <col min="7943" max="7943" width="9.7109375" customWidth="1"/>
    <col min="7944" max="7944" width="10.85546875" customWidth="1"/>
    <col min="7948" max="7948" width="11.7109375" customWidth="1"/>
    <col min="7952" max="7952" width="18.5703125" customWidth="1"/>
    <col min="8191" max="8191" width="18.42578125" customWidth="1"/>
    <col min="8192" max="8192" width="14.42578125" customWidth="1"/>
    <col min="8193" max="8193" width="13.5703125" customWidth="1"/>
    <col min="8194" max="8194" width="14.28515625" customWidth="1"/>
    <col min="8196" max="8196" width="10.42578125" customWidth="1"/>
    <col min="8197" max="8197" width="13.42578125" customWidth="1"/>
    <col min="8199" max="8199" width="9.7109375" customWidth="1"/>
    <col min="8200" max="8200" width="10.85546875" customWidth="1"/>
    <col min="8204" max="8204" width="11.7109375" customWidth="1"/>
    <col min="8208" max="8208" width="18.5703125" customWidth="1"/>
    <col min="8447" max="8447" width="18.42578125" customWidth="1"/>
    <col min="8448" max="8448" width="14.42578125" customWidth="1"/>
    <col min="8449" max="8449" width="13.5703125" customWidth="1"/>
    <col min="8450" max="8450" width="14.28515625" customWidth="1"/>
    <col min="8452" max="8452" width="10.42578125" customWidth="1"/>
    <col min="8453" max="8453" width="13.42578125" customWidth="1"/>
    <col min="8455" max="8455" width="9.7109375" customWidth="1"/>
    <col min="8456" max="8456" width="10.85546875" customWidth="1"/>
    <col min="8460" max="8460" width="11.7109375" customWidth="1"/>
    <col min="8464" max="8464" width="18.5703125" customWidth="1"/>
    <col min="8703" max="8703" width="18.42578125" customWidth="1"/>
    <col min="8704" max="8704" width="14.42578125" customWidth="1"/>
    <col min="8705" max="8705" width="13.5703125" customWidth="1"/>
    <col min="8706" max="8706" width="14.28515625" customWidth="1"/>
    <col min="8708" max="8708" width="10.42578125" customWidth="1"/>
    <col min="8709" max="8709" width="13.42578125" customWidth="1"/>
    <col min="8711" max="8711" width="9.7109375" customWidth="1"/>
    <col min="8712" max="8712" width="10.85546875" customWidth="1"/>
    <col min="8716" max="8716" width="11.7109375" customWidth="1"/>
    <col min="8720" max="8720" width="18.5703125" customWidth="1"/>
    <col min="8959" max="8959" width="18.42578125" customWidth="1"/>
    <col min="8960" max="8960" width="14.42578125" customWidth="1"/>
    <col min="8961" max="8961" width="13.5703125" customWidth="1"/>
    <col min="8962" max="8962" width="14.28515625" customWidth="1"/>
    <col min="8964" max="8964" width="10.42578125" customWidth="1"/>
    <col min="8965" max="8965" width="13.42578125" customWidth="1"/>
    <col min="8967" max="8967" width="9.7109375" customWidth="1"/>
    <col min="8968" max="8968" width="10.85546875" customWidth="1"/>
    <col min="8972" max="8972" width="11.7109375" customWidth="1"/>
    <col min="8976" max="8976" width="18.5703125" customWidth="1"/>
    <col min="9215" max="9215" width="18.42578125" customWidth="1"/>
    <col min="9216" max="9216" width="14.42578125" customWidth="1"/>
    <col min="9217" max="9217" width="13.5703125" customWidth="1"/>
    <col min="9218" max="9218" width="14.28515625" customWidth="1"/>
    <col min="9220" max="9220" width="10.42578125" customWidth="1"/>
    <col min="9221" max="9221" width="13.42578125" customWidth="1"/>
    <col min="9223" max="9223" width="9.7109375" customWidth="1"/>
    <col min="9224" max="9224" width="10.85546875" customWidth="1"/>
    <col min="9228" max="9228" width="11.7109375" customWidth="1"/>
    <col min="9232" max="9232" width="18.5703125" customWidth="1"/>
    <col min="9471" max="9471" width="18.42578125" customWidth="1"/>
    <col min="9472" max="9472" width="14.42578125" customWidth="1"/>
    <col min="9473" max="9473" width="13.5703125" customWidth="1"/>
    <col min="9474" max="9474" width="14.28515625" customWidth="1"/>
    <col min="9476" max="9476" width="10.42578125" customWidth="1"/>
    <col min="9477" max="9477" width="13.42578125" customWidth="1"/>
    <col min="9479" max="9479" width="9.7109375" customWidth="1"/>
    <col min="9480" max="9480" width="10.85546875" customWidth="1"/>
    <col min="9484" max="9484" width="11.7109375" customWidth="1"/>
    <col min="9488" max="9488" width="18.5703125" customWidth="1"/>
    <col min="9727" max="9727" width="18.42578125" customWidth="1"/>
    <col min="9728" max="9728" width="14.42578125" customWidth="1"/>
    <col min="9729" max="9729" width="13.5703125" customWidth="1"/>
    <col min="9730" max="9730" width="14.28515625" customWidth="1"/>
    <col min="9732" max="9732" width="10.42578125" customWidth="1"/>
    <col min="9733" max="9733" width="13.42578125" customWidth="1"/>
    <col min="9735" max="9735" width="9.7109375" customWidth="1"/>
    <col min="9736" max="9736" width="10.85546875" customWidth="1"/>
    <col min="9740" max="9740" width="11.7109375" customWidth="1"/>
    <col min="9744" max="9744" width="18.5703125" customWidth="1"/>
    <col min="9983" max="9983" width="18.42578125" customWidth="1"/>
    <col min="9984" max="9984" width="14.42578125" customWidth="1"/>
    <col min="9985" max="9985" width="13.5703125" customWidth="1"/>
    <col min="9986" max="9986" width="14.28515625" customWidth="1"/>
    <col min="9988" max="9988" width="10.42578125" customWidth="1"/>
    <col min="9989" max="9989" width="13.42578125" customWidth="1"/>
    <col min="9991" max="9991" width="9.7109375" customWidth="1"/>
    <col min="9992" max="9992" width="10.85546875" customWidth="1"/>
    <col min="9996" max="9996" width="11.7109375" customWidth="1"/>
    <col min="10000" max="10000" width="18.5703125" customWidth="1"/>
    <col min="10239" max="10239" width="18.42578125" customWidth="1"/>
    <col min="10240" max="10240" width="14.42578125" customWidth="1"/>
    <col min="10241" max="10241" width="13.5703125" customWidth="1"/>
    <col min="10242" max="10242" width="14.28515625" customWidth="1"/>
    <col min="10244" max="10244" width="10.42578125" customWidth="1"/>
    <col min="10245" max="10245" width="13.42578125" customWidth="1"/>
    <col min="10247" max="10247" width="9.7109375" customWidth="1"/>
    <col min="10248" max="10248" width="10.85546875" customWidth="1"/>
    <col min="10252" max="10252" width="11.7109375" customWidth="1"/>
    <col min="10256" max="10256" width="18.5703125" customWidth="1"/>
    <col min="10495" max="10495" width="18.42578125" customWidth="1"/>
    <col min="10496" max="10496" width="14.42578125" customWidth="1"/>
    <col min="10497" max="10497" width="13.5703125" customWidth="1"/>
    <col min="10498" max="10498" width="14.28515625" customWidth="1"/>
    <col min="10500" max="10500" width="10.42578125" customWidth="1"/>
    <col min="10501" max="10501" width="13.42578125" customWidth="1"/>
    <col min="10503" max="10503" width="9.7109375" customWidth="1"/>
    <col min="10504" max="10504" width="10.85546875" customWidth="1"/>
    <col min="10508" max="10508" width="11.7109375" customWidth="1"/>
    <col min="10512" max="10512" width="18.5703125" customWidth="1"/>
    <col min="10751" max="10751" width="18.42578125" customWidth="1"/>
    <col min="10752" max="10752" width="14.42578125" customWidth="1"/>
    <col min="10753" max="10753" width="13.5703125" customWidth="1"/>
    <col min="10754" max="10754" width="14.28515625" customWidth="1"/>
    <col min="10756" max="10756" width="10.42578125" customWidth="1"/>
    <col min="10757" max="10757" width="13.42578125" customWidth="1"/>
    <col min="10759" max="10759" width="9.7109375" customWidth="1"/>
    <col min="10760" max="10760" width="10.85546875" customWidth="1"/>
    <col min="10764" max="10764" width="11.7109375" customWidth="1"/>
    <col min="10768" max="10768" width="18.5703125" customWidth="1"/>
    <col min="11007" max="11007" width="18.42578125" customWidth="1"/>
    <col min="11008" max="11008" width="14.42578125" customWidth="1"/>
    <col min="11009" max="11009" width="13.5703125" customWidth="1"/>
    <col min="11010" max="11010" width="14.28515625" customWidth="1"/>
    <col min="11012" max="11012" width="10.42578125" customWidth="1"/>
    <col min="11013" max="11013" width="13.42578125" customWidth="1"/>
    <col min="11015" max="11015" width="9.7109375" customWidth="1"/>
    <col min="11016" max="11016" width="10.85546875" customWidth="1"/>
    <col min="11020" max="11020" width="11.7109375" customWidth="1"/>
    <col min="11024" max="11024" width="18.5703125" customWidth="1"/>
    <col min="11263" max="11263" width="18.42578125" customWidth="1"/>
    <col min="11264" max="11264" width="14.42578125" customWidth="1"/>
    <col min="11265" max="11265" width="13.5703125" customWidth="1"/>
    <col min="11266" max="11266" width="14.28515625" customWidth="1"/>
    <col min="11268" max="11268" width="10.42578125" customWidth="1"/>
    <col min="11269" max="11269" width="13.42578125" customWidth="1"/>
    <col min="11271" max="11271" width="9.7109375" customWidth="1"/>
    <col min="11272" max="11272" width="10.85546875" customWidth="1"/>
    <col min="11276" max="11276" width="11.7109375" customWidth="1"/>
    <col min="11280" max="11280" width="18.5703125" customWidth="1"/>
    <col min="11519" max="11519" width="18.42578125" customWidth="1"/>
    <col min="11520" max="11520" width="14.42578125" customWidth="1"/>
    <col min="11521" max="11521" width="13.5703125" customWidth="1"/>
    <col min="11522" max="11522" width="14.28515625" customWidth="1"/>
    <col min="11524" max="11524" width="10.42578125" customWidth="1"/>
    <col min="11525" max="11525" width="13.42578125" customWidth="1"/>
    <col min="11527" max="11527" width="9.7109375" customWidth="1"/>
    <col min="11528" max="11528" width="10.85546875" customWidth="1"/>
    <col min="11532" max="11532" width="11.7109375" customWidth="1"/>
    <col min="11536" max="11536" width="18.5703125" customWidth="1"/>
    <col min="11775" max="11775" width="18.42578125" customWidth="1"/>
    <col min="11776" max="11776" width="14.42578125" customWidth="1"/>
    <col min="11777" max="11777" width="13.5703125" customWidth="1"/>
    <col min="11778" max="11778" width="14.28515625" customWidth="1"/>
    <col min="11780" max="11780" width="10.42578125" customWidth="1"/>
    <col min="11781" max="11781" width="13.42578125" customWidth="1"/>
    <col min="11783" max="11783" width="9.7109375" customWidth="1"/>
    <col min="11784" max="11784" width="10.85546875" customWidth="1"/>
    <col min="11788" max="11788" width="11.7109375" customWidth="1"/>
    <col min="11792" max="11792" width="18.5703125" customWidth="1"/>
    <col min="12031" max="12031" width="18.42578125" customWidth="1"/>
    <col min="12032" max="12032" width="14.42578125" customWidth="1"/>
    <col min="12033" max="12033" width="13.5703125" customWidth="1"/>
    <col min="12034" max="12034" width="14.28515625" customWidth="1"/>
    <col min="12036" max="12036" width="10.42578125" customWidth="1"/>
    <col min="12037" max="12037" width="13.42578125" customWidth="1"/>
    <col min="12039" max="12039" width="9.7109375" customWidth="1"/>
    <col min="12040" max="12040" width="10.85546875" customWidth="1"/>
    <col min="12044" max="12044" width="11.7109375" customWidth="1"/>
    <col min="12048" max="12048" width="18.5703125" customWidth="1"/>
    <col min="12287" max="12287" width="18.42578125" customWidth="1"/>
    <col min="12288" max="12288" width="14.42578125" customWidth="1"/>
    <col min="12289" max="12289" width="13.5703125" customWidth="1"/>
    <col min="12290" max="12290" width="14.28515625" customWidth="1"/>
    <col min="12292" max="12292" width="10.42578125" customWidth="1"/>
    <col min="12293" max="12293" width="13.42578125" customWidth="1"/>
    <col min="12295" max="12295" width="9.7109375" customWidth="1"/>
    <col min="12296" max="12296" width="10.85546875" customWidth="1"/>
    <col min="12300" max="12300" width="11.7109375" customWidth="1"/>
    <col min="12304" max="12304" width="18.5703125" customWidth="1"/>
    <col min="12543" max="12543" width="18.42578125" customWidth="1"/>
    <col min="12544" max="12544" width="14.42578125" customWidth="1"/>
    <col min="12545" max="12545" width="13.5703125" customWidth="1"/>
    <col min="12546" max="12546" width="14.28515625" customWidth="1"/>
    <col min="12548" max="12548" width="10.42578125" customWidth="1"/>
    <col min="12549" max="12549" width="13.42578125" customWidth="1"/>
    <col min="12551" max="12551" width="9.7109375" customWidth="1"/>
    <col min="12552" max="12552" width="10.85546875" customWidth="1"/>
    <col min="12556" max="12556" width="11.7109375" customWidth="1"/>
    <col min="12560" max="12560" width="18.5703125" customWidth="1"/>
    <col min="12799" max="12799" width="18.42578125" customWidth="1"/>
    <col min="12800" max="12800" width="14.42578125" customWidth="1"/>
    <col min="12801" max="12801" width="13.5703125" customWidth="1"/>
    <col min="12802" max="12802" width="14.28515625" customWidth="1"/>
    <col min="12804" max="12804" width="10.42578125" customWidth="1"/>
    <col min="12805" max="12805" width="13.42578125" customWidth="1"/>
    <col min="12807" max="12807" width="9.7109375" customWidth="1"/>
    <col min="12808" max="12808" width="10.85546875" customWidth="1"/>
    <col min="12812" max="12812" width="11.7109375" customWidth="1"/>
    <col min="12816" max="12816" width="18.5703125" customWidth="1"/>
    <col min="13055" max="13055" width="18.42578125" customWidth="1"/>
    <col min="13056" max="13056" width="14.42578125" customWidth="1"/>
    <col min="13057" max="13057" width="13.5703125" customWidth="1"/>
    <col min="13058" max="13058" width="14.28515625" customWidth="1"/>
    <col min="13060" max="13060" width="10.42578125" customWidth="1"/>
    <col min="13061" max="13061" width="13.42578125" customWidth="1"/>
    <col min="13063" max="13063" width="9.7109375" customWidth="1"/>
    <col min="13064" max="13064" width="10.85546875" customWidth="1"/>
    <col min="13068" max="13068" width="11.7109375" customWidth="1"/>
    <col min="13072" max="13072" width="18.5703125" customWidth="1"/>
    <col min="13311" max="13311" width="18.42578125" customWidth="1"/>
    <col min="13312" max="13312" width="14.42578125" customWidth="1"/>
    <col min="13313" max="13313" width="13.5703125" customWidth="1"/>
    <col min="13314" max="13314" width="14.28515625" customWidth="1"/>
    <col min="13316" max="13316" width="10.42578125" customWidth="1"/>
    <col min="13317" max="13317" width="13.42578125" customWidth="1"/>
    <col min="13319" max="13319" width="9.7109375" customWidth="1"/>
    <col min="13320" max="13320" width="10.85546875" customWidth="1"/>
    <col min="13324" max="13324" width="11.7109375" customWidth="1"/>
    <col min="13328" max="13328" width="18.5703125" customWidth="1"/>
    <col min="13567" max="13567" width="18.42578125" customWidth="1"/>
    <col min="13568" max="13568" width="14.42578125" customWidth="1"/>
    <col min="13569" max="13569" width="13.5703125" customWidth="1"/>
    <col min="13570" max="13570" width="14.28515625" customWidth="1"/>
    <col min="13572" max="13572" width="10.42578125" customWidth="1"/>
    <col min="13573" max="13573" width="13.42578125" customWidth="1"/>
    <col min="13575" max="13575" width="9.7109375" customWidth="1"/>
    <col min="13576" max="13576" width="10.85546875" customWidth="1"/>
    <col min="13580" max="13580" width="11.7109375" customWidth="1"/>
    <col min="13584" max="13584" width="18.5703125" customWidth="1"/>
    <col min="13823" max="13823" width="18.42578125" customWidth="1"/>
    <col min="13824" max="13824" width="14.42578125" customWidth="1"/>
    <col min="13825" max="13825" width="13.5703125" customWidth="1"/>
    <col min="13826" max="13826" width="14.28515625" customWidth="1"/>
    <col min="13828" max="13828" width="10.42578125" customWidth="1"/>
    <col min="13829" max="13829" width="13.42578125" customWidth="1"/>
    <col min="13831" max="13831" width="9.7109375" customWidth="1"/>
    <col min="13832" max="13832" width="10.85546875" customWidth="1"/>
    <col min="13836" max="13836" width="11.7109375" customWidth="1"/>
    <col min="13840" max="13840" width="18.5703125" customWidth="1"/>
    <col min="14079" max="14079" width="18.42578125" customWidth="1"/>
    <col min="14080" max="14080" width="14.42578125" customWidth="1"/>
    <col min="14081" max="14081" width="13.5703125" customWidth="1"/>
    <col min="14082" max="14082" width="14.28515625" customWidth="1"/>
    <col min="14084" max="14084" width="10.42578125" customWidth="1"/>
    <col min="14085" max="14085" width="13.42578125" customWidth="1"/>
    <col min="14087" max="14087" width="9.7109375" customWidth="1"/>
    <col min="14088" max="14088" width="10.85546875" customWidth="1"/>
    <col min="14092" max="14092" width="11.7109375" customWidth="1"/>
    <col min="14096" max="14096" width="18.5703125" customWidth="1"/>
    <col min="14335" max="14335" width="18.42578125" customWidth="1"/>
    <col min="14336" max="14336" width="14.42578125" customWidth="1"/>
    <col min="14337" max="14337" width="13.5703125" customWidth="1"/>
    <col min="14338" max="14338" width="14.28515625" customWidth="1"/>
    <col min="14340" max="14340" width="10.42578125" customWidth="1"/>
    <col min="14341" max="14341" width="13.42578125" customWidth="1"/>
    <col min="14343" max="14343" width="9.7109375" customWidth="1"/>
    <col min="14344" max="14344" width="10.85546875" customWidth="1"/>
    <col min="14348" max="14348" width="11.7109375" customWidth="1"/>
    <col min="14352" max="14352" width="18.5703125" customWidth="1"/>
    <col min="14591" max="14591" width="18.42578125" customWidth="1"/>
    <col min="14592" max="14592" width="14.42578125" customWidth="1"/>
    <col min="14593" max="14593" width="13.5703125" customWidth="1"/>
    <col min="14594" max="14594" width="14.28515625" customWidth="1"/>
    <col min="14596" max="14596" width="10.42578125" customWidth="1"/>
    <col min="14597" max="14597" width="13.42578125" customWidth="1"/>
    <col min="14599" max="14599" width="9.7109375" customWidth="1"/>
    <col min="14600" max="14600" width="10.85546875" customWidth="1"/>
    <col min="14604" max="14604" width="11.7109375" customWidth="1"/>
    <col min="14608" max="14608" width="18.5703125" customWidth="1"/>
    <col min="14847" max="14847" width="18.42578125" customWidth="1"/>
    <col min="14848" max="14848" width="14.42578125" customWidth="1"/>
    <col min="14849" max="14849" width="13.5703125" customWidth="1"/>
    <col min="14850" max="14850" width="14.28515625" customWidth="1"/>
    <col min="14852" max="14852" width="10.42578125" customWidth="1"/>
    <col min="14853" max="14853" width="13.42578125" customWidth="1"/>
    <col min="14855" max="14855" width="9.7109375" customWidth="1"/>
    <col min="14856" max="14856" width="10.85546875" customWidth="1"/>
    <col min="14860" max="14860" width="11.7109375" customWidth="1"/>
    <col min="14864" max="14864" width="18.5703125" customWidth="1"/>
    <col min="15103" max="15103" width="18.42578125" customWidth="1"/>
    <col min="15104" max="15104" width="14.42578125" customWidth="1"/>
    <col min="15105" max="15105" width="13.5703125" customWidth="1"/>
    <col min="15106" max="15106" width="14.28515625" customWidth="1"/>
    <col min="15108" max="15108" width="10.42578125" customWidth="1"/>
    <col min="15109" max="15109" width="13.42578125" customWidth="1"/>
    <col min="15111" max="15111" width="9.7109375" customWidth="1"/>
    <col min="15112" max="15112" width="10.85546875" customWidth="1"/>
    <col min="15116" max="15116" width="11.7109375" customWidth="1"/>
    <col min="15120" max="15120" width="18.5703125" customWidth="1"/>
    <col min="15359" max="15359" width="18.42578125" customWidth="1"/>
    <col min="15360" max="15360" width="14.42578125" customWidth="1"/>
    <col min="15361" max="15361" width="13.5703125" customWidth="1"/>
    <col min="15362" max="15362" width="14.28515625" customWidth="1"/>
    <col min="15364" max="15364" width="10.42578125" customWidth="1"/>
    <col min="15365" max="15365" width="13.42578125" customWidth="1"/>
    <col min="15367" max="15367" width="9.7109375" customWidth="1"/>
    <col min="15368" max="15368" width="10.85546875" customWidth="1"/>
    <col min="15372" max="15372" width="11.7109375" customWidth="1"/>
    <col min="15376" max="15376" width="18.5703125" customWidth="1"/>
    <col min="15615" max="15615" width="18.42578125" customWidth="1"/>
    <col min="15616" max="15616" width="14.42578125" customWidth="1"/>
    <col min="15617" max="15617" width="13.5703125" customWidth="1"/>
    <col min="15618" max="15618" width="14.28515625" customWidth="1"/>
    <col min="15620" max="15620" width="10.42578125" customWidth="1"/>
    <col min="15621" max="15621" width="13.42578125" customWidth="1"/>
    <col min="15623" max="15623" width="9.7109375" customWidth="1"/>
    <col min="15624" max="15624" width="10.85546875" customWidth="1"/>
    <col min="15628" max="15628" width="11.7109375" customWidth="1"/>
    <col min="15632" max="15632" width="18.5703125" customWidth="1"/>
    <col min="15871" max="15871" width="18.42578125" customWidth="1"/>
    <col min="15872" max="15872" width="14.42578125" customWidth="1"/>
    <col min="15873" max="15873" width="13.5703125" customWidth="1"/>
    <col min="15874" max="15874" width="14.28515625" customWidth="1"/>
    <col min="15876" max="15876" width="10.42578125" customWidth="1"/>
    <col min="15877" max="15877" width="13.42578125" customWidth="1"/>
    <col min="15879" max="15879" width="9.7109375" customWidth="1"/>
    <col min="15880" max="15880" width="10.85546875" customWidth="1"/>
    <col min="15884" max="15884" width="11.7109375" customWidth="1"/>
    <col min="15888" max="15888" width="18.5703125" customWidth="1"/>
    <col min="16127" max="16127" width="18.42578125" customWidth="1"/>
    <col min="16128" max="16128" width="14.42578125" customWidth="1"/>
    <col min="16129" max="16129" width="13.5703125" customWidth="1"/>
    <col min="16130" max="16130" width="14.28515625" customWidth="1"/>
    <col min="16132" max="16132" width="10.42578125" customWidth="1"/>
    <col min="16133" max="16133" width="13.42578125" customWidth="1"/>
    <col min="16135" max="16135" width="9.7109375" customWidth="1"/>
    <col min="16136" max="16136" width="10.85546875" customWidth="1"/>
    <col min="16140" max="16140" width="11.7109375" customWidth="1"/>
    <col min="16144" max="16144" width="18.5703125" customWidth="1"/>
  </cols>
  <sheetData>
    <row r="1" spans="1:18" ht="24.75" customHeight="1" thickBot="1" x14ac:dyDescent="0.3">
      <c r="B1" s="51"/>
      <c r="C1" s="51"/>
      <c r="D1" s="51"/>
      <c r="E1" s="51"/>
      <c r="F1" s="51"/>
      <c r="G1" s="51"/>
      <c r="H1" s="51"/>
      <c r="I1" s="51"/>
      <c r="J1" s="51"/>
      <c r="K1" s="51"/>
      <c r="L1" s="51"/>
      <c r="M1" s="51"/>
      <c r="N1" s="51"/>
      <c r="O1" s="51"/>
      <c r="P1" s="51"/>
      <c r="Q1" s="51"/>
    </row>
    <row r="2" spans="1:18" ht="22.5" customHeight="1" thickBot="1" x14ac:dyDescent="0.3">
      <c r="B2" s="91" t="s">
        <v>116</v>
      </c>
      <c r="C2" s="51"/>
      <c r="D2" s="51"/>
      <c r="E2" s="51"/>
      <c r="F2" s="51"/>
      <c r="G2" s="51"/>
      <c r="H2" s="51"/>
      <c r="I2" s="51"/>
      <c r="J2" s="51"/>
      <c r="K2" s="51"/>
      <c r="L2" s="51"/>
      <c r="M2" s="51"/>
      <c r="N2" s="51"/>
      <c r="O2" s="51"/>
      <c r="P2" s="51"/>
      <c r="Q2" s="51"/>
    </row>
    <row r="3" spans="1:18" ht="33" customHeight="1" thickBot="1" x14ac:dyDescent="0.3">
      <c r="A3" s="89" t="s">
        <v>120</v>
      </c>
      <c r="B3" s="210" t="s">
        <v>185</v>
      </c>
      <c r="C3" s="211"/>
      <c r="D3" s="211"/>
      <c r="E3" s="211"/>
      <c r="F3" s="211"/>
      <c r="G3" s="211"/>
      <c r="H3" s="211"/>
      <c r="I3" s="211"/>
      <c r="J3" s="211"/>
      <c r="K3" s="211"/>
      <c r="L3" s="211"/>
      <c r="M3" s="211"/>
      <c r="N3" s="211"/>
      <c r="O3" s="211"/>
      <c r="P3" s="211"/>
      <c r="Q3" s="51"/>
    </row>
    <row r="4" spans="1:18" ht="35.1" customHeight="1" x14ac:dyDescent="0.25">
      <c r="A4" s="115" t="s">
        <v>187</v>
      </c>
      <c r="B4" s="214" t="s">
        <v>181</v>
      </c>
      <c r="C4" s="214"/>
      <c r="D4" s="214"/>
      <c r="E4" s="214"/>
      <c r="F4" s="214"/>
      <c r="G4" s="214"/>
      <c r="H4" s="214"/>
      <c r="I4" s="214"/>
      <c r="J4" s="214"/>
      <c r="K4" s="214"/>
      <c r="L4" s="214"/>
      <c r="M4" s="214"/>
      <c r="N4" s="214"/>
      <c r="O4" s="214"/>
      <c r="P4" s="214"/>
      <c r="Q4" s="51"/>
    </row>
    <row r="5" spans="1:18" ht="42.95" customHeight="1" x14ac:dyDescent="0.25">
      <c r="A5" s="117" t="s">
        <v>182</v>
      </c>
      <c r="B5" s="215" t="s">
        <v>183</v>
      </c>
      <c r="C5" s="213"/>
      <c r="D5" s="213"/>
      <c r="E5" s="213"/>
      <c r="F5" s="213"/>
      <c r="G5" s="213"/>
      <c r="H5" s="213"/>
      <c r="I5" s="213"/>
      <c r="J5" s="213"/>
      <c r="K5" s="213"/>
      <c r="L5" s="213"/>
      <c r="M5" s="213"/>
      <c r="N5" s="213"/>
      <c r="O5" s="213"/>
      <c r="P5" s="213"/>
      <c r="Q5" s="51"/>
      <c r="R5">
        <v>378.2</v>
      </c>
    </row>
    <row r="6" spans="1:18" ht="42.95" customHeight="1" x14ac:dyDescent="0.25">
      <c r="A6" s="118" t="s">
        <v>186</v>
      </c>
      <c r="B6" s="215" t="s">
        <v>184</v>
      </c>
      <c r="C6" s="213"/>
      <c r="D6" s="213"/>
      <c r="E6" s="213"/>
      <c r="F6" s="213"/>
      <c r="G6" s="213"/>
      <c r="H6" s="213"/>
      <c r="I6" s="213"/>
      <c r="J6" s="213"/>
      <c r="K6" s="213"/>
      <c r="L6" s="213"/>
      <c r="M6" s="213"/>
      <c r="N6" s="213"/>
      <c r="O6" s="213"/>
      <c r="P6" s="213"/>
      <c r="Q6" s="51"/>
    </row>
    <row r="7" spans="1:18" ht="15.75" x14ac:dyDescent="0.25">
      <c r="B7" s="58"/>
      <c r="C7" s="51"/>
      <c r="D7" s="51"/>
      <c r="E7" s="51"/>
      <c r="F7" s="51"/>
      <c r="G7" s="51"/>
      <c r="H7" s="51"/>
      <c r="I7" s="51"/>
      <c r="J7" s="51"/>
      <c r="K7" s="51"/>
      <c r="L7" s="51"/>
      <c r="M7" s="51"/>
      <c r="N7" s="51"/>
      <c r="O7" s="51"/>
      <c r="P7" s="51"/>
      <c r="Q7" s="51"/>
    </row>
    <row r="8" spans="1:18" ht="16.5" thickBot="1" x14ac:dyDescent="0.3">
      <c r="B8" s="217" t="s">
        <v>206</v>
      </c>
      <c r="C8" s="217"/>
      <c r="D8" s="217"/>
      <c r="E8" s="217"/>
      <c r="F8" s="217"/>
      <c r="G8" s="217"/>
      <c r="H8" s="217"/>
      <c r="I8" s="217"/>
      <c r="J8" s="217"/>
      <c r="K8" s="217"/>
      <c r="L8" s="217"/>
      <c r="M8" s="217"/>
      <c r="N8" s="217"/>
      <c r="O8" s="217"/>
      <c r="P8" s="217"/>
      <c r="Q8" s="51"/>
    </row>
    <row r="9" spans="1:18" ht="47.25" customHeight="1" thickBot="1" x14ac:dyDescent="0.3">
      <c r="A9" s="89" t="s">
        <v>121</v>
      </c>
      <c r="B9" s="208" t="s">
        <v>122</v>
      </c>
      <c r="C9" s="209"/>
      <c r="D9" s="209"/>
      <c r="E9" s="209"/>
      <c r="F9" s="209"/>
      <c r="G9" s="209"/>
      <c r="H9" s="209"/>
      <c r="I9" s="209"/>
      <c r="J9" s="209"/>
      <c r="K9" s="209"/>
      <c r="L9" s="209"/>
      <c r="M9" s="209"/>
      <c r="N9" s="209"/>
      <c r="O9" s="209"/>
      <c r="P9" s="209"/>
      <c r="Q9" s="51"/>
    </row>
    <row r="10" spans="1:18" ht="15.75" x14ac:dyDescent="0.25">
      <c r="B10" s="58" t="s">
        <v>123</v>
      </c>
      <c r="C10" s="51"/>
      <c r="D10" s="51"/>
      <c r="E10" s="51"/>
      <c r="F10" s="51"/>
      <c r="G10" s="51"/>
      <c r="H10" s="51"/>
      <c r="I10" s="51"/>
      <c r="J10" s="51"/>
      <c r="K10" s="51"/>
      <c r="L10" s="51"/>
      <c r="M10" s="51"/>
      <c r="N10" s="51"/>
      <c r="O10" s="51"/>
      <c r="P10" s="51"/>
      <c r="Q10" s="51"/>
      <c r="R10">
        <v>208</v>
      </c>
    </row>
    <row r="11" spans="1:18" ht="15.75" x14ac:dyDescent="0.25">
      <c r="B11" s="58" t="s">
        <v>124</v>
      </c>
      <c r="C11" s="51"/>
      <c r="D11" s="51"/>
      <c r="E11" s="51"/>
      <c r="F11" s="51"/>
      <c r="G11" s="51"/>
      <c r="H11" s="51"/>
      <c r="I11" s="51"/>
      <c r="J11" s="51"/>
      <c r="K11" s="51"/>
      <c r="L11" s="51"/>
      <c r="M11" s="51"/>
      <c r="N11" s="51"/>
      <c r="O11" s="51"/>
      <c r="P11" s="51"/>
      <c r="Q11" s="51"/>
    </row>
    <row r="12" spans="1:18" ht="15.75" x14ac:dyDescent="0.25">
      <c r="B12" s="58"/>
      <c r="C12" s="51"/>
      <c r="D12" s="51"/>
      <c r="E12" s="51"/>
      <c r="F12" s="51"/>
      <c r="G12" s="51"/>
      <c r="H12" s="51"/>
      <c r="I12" s="51"/>
      <c r="J12" s="51"/>
      <c r="K12" s="51"/>
      <c r="L12" s="51"/>
      <c r="M12" s="51"/>
      <c r="N12" s="51"/>
      <c r="O12" s="51"/>
      <c r="P12" s="51"/>
      <c r="Q12" s="51"/>
    </row>
    <row r="13" spans="1:18" ht="16.5" thickBot="1" x14ac:dyDescent="0.3">
      <c r="B13" s="217" t="s">
        <v>205</v>
      </c>
      <c r="C13" s="217"/>
      <c r="D13" s="217"/>
      <c r="E13" s="217"/>
      <c r="F13" s="217"/>
      <c r="G13" s="217"/>
      <c r="H13" s="217"/>
      <c r="I13" s="217"/>
      <c r="J13" s="217"/>
      <c r="K13" s="217"/>
      <c r="L13" s="217"/>
      <c r="M13" s="217"/>
      <c r="N13" s="217"/>
      <c r="O13" s="217"/>
      <c r="P13" s="217"/>
      <c r="Q13" s="51"/>
    </row>
    <row r="14" spans="1:18" ht="33" customHeight="1" thickBot="1" x14ac:dyDescent="0.3">
      <c r="A14" s="89" t="s">
        <v>125</v>
      </c>
      <c r="B14" s="208" t="s">
        <v>126</v>
      </c>
      <c r="C14" s="209"/>
      <c r="D14" s="209"/>
      <c r="E14" s="209"/>
      <c r="F14" s="209"/>
      <c r="G14" s="209"/>
      <c r="H14" s="209"/>
      <c r="I14" s="209"/>
      <c r="J14" s="209"/>
      <c r="K14" s="209"/>
      <c r="L14" s="209"/>
      <c r="M14" s="209"/>
      <c r="N14" s="209"/>
      <c r="O14" s="209"/>
      <c r="P14" s="209"/>
    </row>
    <row r="15" spans="1:18" ht="19.5" customHeight="1" x14ac:dyDescent="0.25">
      <c r="A15" s="90"/>
      <c r="B15" s="88" t="s">
        <v>117</v>
      </c>
      <c r="C15" s="95"/>
      <c r="D15" s="95"/>
      <c r="E15" s="95"/>
      <c r="F15" s="95"/>
      <c r="G15" s="95"/>
      <c r="H15" s="95"/>
      <c r="I15" s="95"/>
      <c r="J15" s="95"/>
      <c r="K15" s="95"/>
      <c r="L15" s="95"/>
      <c r="M15" s="95"/>
      <c r="N15" s="95"/>
      <c r="O15" s="95"/>
      <c r="P15" s="95"/>
      <c r="R15">
        <v>92</v>
      </c>
    </row>
    <row r="16" spans="1:18" ht="13.5" thickBot="1" x14ac:dyDescent="0.25"/>
    <row r="17" spans="1:18" ht="16.5" thickBot="1" x14ac:dyDescent="0.3">
      <c r="B17" s="91" t="s">
        <v>127</v>
      </c>
    </row>
    <row r="18" spans="1:18" ht="33" customHeight="1" thickBot="1" x14ac:dyDescent="0.3">
      <c r="A18" s="89" t="s">
        <v>120</v>
      </c>
      <c r="B18" s="210" t="s">
        <v>200</v>
      </c>
      <c r="C18" s="211"/>
      <c r="D18" s="211"/>
      <c r="E18" s="211"/>
      <c r="F18" s="211"/>
      <c r="G18" s="211"/>
      <c r="H18" s="211"/>
      <c r="I18" s="211"/>
      <c r="J18" s="211"/>
      <c r="K18" s="211"/>
      <c r="L18" s="211"/>
      <c r="M18" s="211"/>
      <c r="N18" s="211"/>
      <c r="O18" s="211"/>
      <c r="P18" s="211"/>
    </row>
    <row r="19" spans="1:18" ht="42.95" customHeight="1" x14ac:dyDescent="0.2">
      <c r="A19" s="116" t="s">
        <v>117</v>
      </c>
      <c r="B19" s="212" t="s">
        <v>191</v>
      </c>
      <c r="C19" s="213"/>
      <c r="D19" s="213"/>
      <c r="E19" s="213"/>
      <c r="F19" s="213"/>
      <c r="G19" s="213"/>
      <c r="H19" s="213"/>
      <c r="I19" s="213"/>
      <c r="J19" s="213"/>
      <c r="K19" s="213"/>
      <c r="L19" s="213"/>
      <c r="M19" s="213"/>
      <c r="N19" s="213"/>
      <c r="O19" s="213"/>
      <c r="P19" s="213"/>
      <c r="R19">
        <v>513.79999999999995</v>
      </c>
    </row>
    <row r="20" spans="1:18" ht="42.95" customHeight="1" x14ac:dyDescent="0.2">
      <c r="A20" s="116" t="s">
        <v>123</v>
      </c>
      <c r="B20" s="212" t="s">
        <v>190</v>
      </c>
      <c r="C20" s="213"/>
      <c r="D20" s="213"/>
      <c r="E20" s="213"/>
      <c r="F20" s="213"/>
      <c r="G20" s="213"/>
      <c r="H20" s="213"/>
      <c r="I20" s="213"/>
      <c r="J20" s="213"/>
      <c r="K20" s="213"/>
      <c r="L20" s="213"/>
      <c r="M20" s="213"/>
      <c r="N20" s="213"/>
      <c r="O20" s="213"/>
      <c r="P20" s="213"/>
    </row>
    <row r="21" spans="1:18" ht="42.95" customHeight="1" x14ac:dyDescent="0.2">
      <c r="A21" s="118" t="s">
        <v>119</v>
      </c>
      <c r="B21" s="212" t="s">
        <v>189</v>
      </c>
      <c r="C21" s="213"/>
      <c r="D21" s="213"/>
      <c r="E21" s="213"/>
      <c r="F21" s="213"/>
      <c r="G21" s="213"/>
      <c r="H21" s="213"/>
      <c r="I21" s="213"/>
      <c r="J21" s="213"/>
      <c r="K21" s="213"/>
      <c r="L21" s="213"/>
      <c r="M21" s="213"/>
      <c r="N21" s="213"/>
      <c r="O21" s="213"/>
      <c r="P21" s="213"/>
    </row>
    <row r="22" spans="1:18" ht="42.95" customHeight="1" x14ac:dyDescent="0.2">
      <c r="A22" s="119" t="s">
        <v>132</v>
      </c>
      <c r="B22" s="212" t="s">
        <v>188</v>
      </c>
      <c r="C22" s="213"/>
      <c r="D22" s="213"/>
      <c r="E22" s="213"/>
      <c r="F22" s="213"/>
      <c r="G22" s="213"/>
      <c r="H22" s="213"/>
      <c r="I22" s="213"/>
      <c r="J22" s="213"/>
      <c r="K22" s="213"/>
      <c r="L22" s="213"/>
      <c r="M22" s="213"/>
      <c r="N22" s="213"/>
      <c r="O22" s="213"/>
      <c r="P22" s="213"/>
    </row>
    <row r="23" spans="1:18" ht="12.95" customHeight="1" x14ac:dyDescent="0.2">
      <c r="A23" s="119"/>
      <c r="B23" s="121"/>
      <c r="C23" s="122"/>
      <c r="D23" s="122"/>
      <c r="E23" s="122"/>
      <c r="F23" s="122"/>
      <c r="G23" s="122"/>
      <c r="H23" s="122"/>
      <c r="I23" s="122"/>
      <c r="J23" s="122"/>
      <c r="K23" s="122"/>
      <c r="L23" s="122"/>
      <c r="M23" s="122"/>
      <c r="N23" s="122"/>
      <c r="O23" s="122"/>
      <c r="P23" s="122"/>
    </row>
    <row r="24" spans="1:18" ht="15" customHeight="1" x14ac:dyDescent="0.2">
      <c r="A24" s="119"/>
      <c r="B24" s="121"/>
      <c r="C24" s="122"/>
      <c r="D24" s="122"/>
      <c r="E24" s="122"/>
      <c r="F24" s="122"/>
      <c r="G24" s="122"/>
      <c r="H24" s="122"/>
      <c r="I24" s="122"/>
      <c r="J24" s="122"/>
      <c r="K24" s="122"/>
      <c r="L24" s="122"/>
      <c r="M24" s="122"/>
      <c r="N24" s="122"/>
      <c r="O24" s="122"/>
      <c r="P24" s="122"/>
    </row>
    <row r="25" spans="1:18" ht="15.95" customHeight="1" thickBot="1" x14ac:dyDescent="0.25">
      <c r="B25" s="217" t="s">
        <v>209</v>
      </c>
      <c r="C25" s="217"/>
      <c r="D25" s="217"/>
      <c r="E25" s="217"/>
      <c r="F25" s="217"/>
      <c r="G25" s="217"/>
      <c r="H25" s="217"/>
      <c r="I25" s="217"/>
      <c r="J25" s="217"/>
      <c r="K25" s="217"/>
      <c r="L25" s="217"/>
      <c r="M25" s="217"/>
      <c r="N25" s="217"/>
      <c r="O25" s="217"/>
      <c r="P25" s="217"/>
    </row>
    <row r="26" spans="1:18" ht="35.25" customHeight="1" thickBot="1" x14ac:dyDescent="0.3">
      <c r="A26" s="89" t="s">
        <v>121</v>
      </c>
      <c r="B26" s="208" t="s">
        <v>128</v>
      </c>
      <c r="C26" s="209"/>
      <c r="D26" s="209"/>
      <c r="E26" s="209"/>
      <c r="F26" s="209"/>
      <c r="G26" s="209"/>
      <c r="H26" s="209"/>
      <c r="I26" s="209"/>
      <c r="J26" s="209"/>
      <c r="K26" s="209"/>
      <c r="L26" s="209"/>
      <c r="M26" s="209"/>
      <c r="N26" s="209"/>
      <c r="O26" s="209"/>
      <c r="P26" s="209"/>
    </row>
    <row r="27" spans="1:18" ht="15.75" x14ac:dyDescent="0.25">
      <c r="B27" s="58" t="s">
        <v>118</v>
      </c>
      <c r="R27">
        <v>98</v>
      </c>
    </row>
    <row r="28" spans="1:18" ht="15.75" x14ac:dyDescent="0.25">
      <c r="B28" s="58"/>
    </row>
    <row r="29" spans="1:18" ht="15.95" customHeight="1" x14ac:dyDescent="0.2">
      <c r="B29" s="217"/>
      <c r="C29" s="217"/>
      <c r="D29" s="217"/>
      <c r="E29" s="217"/>
      <c r="F29" s="217"/>
      <c r="G29" s="217"/>
      <c r="H29" s="217"/>
      <c r="I29" s="217"/>
      <c r="J29" s="217"/>
      <c r="K29" s="217"/>
      <c r="L29" s="217"/>
      <c r="M29" s="217"/>
      <c r="N29" s="217"/>
      <c r="O29" s="217"/>
      <c r="P29" s="217"/>
    </row>
    <row r="30" spans="1:18" ht="15.95" customHeight="1" thickBot="1" x14ac:dyDescent="0.25">
      <c r="B30" s="217" t="s">
        <v>210</v>
      </c>
      <c r="C30" s="217"/>
      <c r="D30" s="217"/>
      <c r="E30" s="217"/>
      <c r="F30" s="217"/>
      <c r="G30" s="217"/>
      <c r="H30" s="217"/>
      <c r="I30" s="217"/>
      <c r="J30" s="217"/>
      <c r="K30" s="217"/>
      <c r="L30" s="217"/>
      <c r="M30" s="217"/>
      <c r="N30" s="217"/>
      <c r="O30" s="217"/>
      <c r="P30" s="217"/>
    </row>
    <row r="31" spans="1:18" ht="54.75" customHeight="1" thickBot="1" x14ac:dyDescent="0.3">
      <c r="A31" s="89" t="s">
        <v>129</v>
      </c>
      <c r="B31" s="208" t="s">
        <v>130</v>
      </c>
      <c r="C31" s="209"/>
      <c r="D31" s="209"/>
      <c r="E31" s="209"/>
      <c r="F31" s="209"/>
      <c r="G31" s="209"/>
      <c r="H31" s="209"/>
      <c r="I31" s="209"/>
      <c r="J31" s="209"/>
      <c r="K31" s="209"/>
      <c r="L31" s="209"/>
      <c r="M31" s="209"/>
      <c r="N31" s="209"/>
      <c r="O31" s="209"/>
      <c r="P31" s="209"/>
    </row>
    <row r="32" spans="1:18" ht="18.75" customHeight="1" x14ac:dyDescent="0.25">
      <c r="A32" s="90"/>
      <c r="B32" s="58" t="s">
        <v>119</v>
      </c>
      <c r="C32" s="95"/>
      <c r="D32" s="95"/>
      <c r="E32" s="95"/>
      <c r="F32" s="95"/>
      <c r="G32" s="95"/>
      <c r="H32" s="95"/>
      <c r="I32" s="95"/>
      <c r="J32" s="95"/>
      <c r="K32" s="95"/>
      <c r="L32" s="95"/>
      <c r="M32" s="95"/>
      <c r="N32" s="95"/>
      <c r="O32" s="95"/>
      <c r="P32" s="95"/>
      <c r="R32">
        <v>98.5</v>
      </c>
    </row>
    <row r="33" spans="1:18" ht="13.5" thickBot="1" x14ac:dyDescent="0.25"/>
    <row r="34" spans="1:18" ht="16.5" thickBot="1" x14ac:dyDescent="0.3">
      <c r="B34" s="91" t="s">
        <v>131</v>
      </c>
    </row>
    <row r="35" spans="1:18" ht="15" customHeight="1" thickBot="1" x14ac:dyDescent="0.3">
      <c r="B35" s="218" t="s">
        <v>202</v>
      </c>
      <c r="C35" s="218"/>
      <c r="D35" s="218"/>
      <c r="E35" s="218"/>
      <c r="F35" s="218"/>
      <c r="G35" s="218"/>
      <c r="H35" s="218"/>
      <c r="I35" s="218"/>
      <c r="J35" s="218"/>
      <c r="K35" s="218"/>
      <c r="L35" s="218"/>
      <c r="M35" s="218"/>
      <c r="N35" s="218"/>
      <c r="O35" s="218"/>
      <c r="P35" s="218"/>
    </row>
    <row r="36" spans="1:18" ht="51.75" customHeight="1" thickBot="1" x14ac:dyDescent="0.3">
      <c r="A36" s="89" t="s">
        <v>120</v>
      </c>
      <c r="B36" s="208" t="s">
        <v>133</v>
      </c>
      <c r="C36" s="209"/>
      <c r="D36" s="209"/>
      <c r="E36" s="209"/>
      <c r="F36" s="209"/>
      <c r="G36" s="209"/>
      <c r="H36" s="209"/>
      <c r="I36" s="209"/>
      <c r="J36" s="209"/>
      <c r="K36" s="209"/>
      <c r="L36" s="209"/>
      <c r="M36" s="209"/>
      <c r="N36" s="209"/>
      <c r="O36" s="209"/>
      <c r="P36" s="209"/>
    </row>
    <row r="37" spans="1:18" ht="15.75" x14ac:dyDescent="0.25">
      <c r="B37" s="58" t="s">
        <v>123</v>
      </c>
      <c r="R37">
        <v>113</v>
      </c>
    </row>
    <row r="38" spans="1:18" ht="13.5" thickBot="1" x14ac:dyDescent="0.25"/>
    <row r="39" spans="1:18" ht="30" customHeight="1" thickBot="1" x14ac:dyDescent="0.3">
      <c r="A39" s="89" t="s">
        <v>121</v>
      </c>
      <c r="B39" s="210" t="s">
        <v>201</v>
      </c>
      <c r="C39" s="211"/>
      <c r="D39" s="211"/>
      <c r="E39" s="211"/>
      <c r="F39" s="211"/>
      <c r="G39" s="211"/>
      <c r="H39" s="211"/>
      <c r="I39" s="211"/>
      <c r="J39" s="211"/>
      <c r="K39" s="211"/>
      <c r="L39" s="211"/>
      <c r="M39" s="211"/>
      <c r="N39" s="211"/>
      <c r="O39" s="211"/>
      <c r="P39" s="211"/>
    </row>
    <row r="40" spans="1:18" ht="42.95" customHeight="1" x14ac:dyDescent="0.2">
      <c r="A40" s="119" t="s">
        <v>132</v>
      </c>
      <c r="B40" s="215" t="s">
        <v>192</v>
      </c>
      <c r="C40" s="213"/>
      <c r="D40" s="213"/>
      <c r="E40" s="213"/>
      <c r="F40" s="213"/>
      <c r="G40" s="213"/>
      <c r="H40" s="213"/>
      <c r="I40" s="213"/>
      <c r="J40" s="213"/>
      <c r="K40" s="213"/>
      <c r="L40" s="213"/>
      <c r="M40" s="213"/>
      <c r="N40" s="213"/>
      <c r="O40" s="213"/>
      <c r="P40" s="213"/>
      <c r="R40">
        <v>279.10000000000002</v>
      </c>
    </row>
    <row r="41" spans="1:18" ht="42.95" customHeight="1" x14ac:dyDescent="0.2">
      <c r="A41" s="119" t="s">
        <v>119</v>
      </c>
      <c r="B41" s="215" t="s">
        <v>193</v>
      </c>
      <c r="C41" s="213"/>
      <c r="D41" s="213"/>
      <c r="E41" s="213"/>
      <c r="F41" s="213"/>
      <c r="G41" s="213"/>
      <c r="H41" s="213"/>
      <c r="I41" s="213"/>
      <c r="J41" s="213"/>
      <c r="K41" s="213"/>
      <c r="L41" s="213"/>
      <c r="M41" s="213"/>
      <c r="N41" s="213"/>
      <c r="O41" s="213"/>
      <c r="P41" s="213"/>
    </row>
    <row r="42" spans="1:18" ht="13.5" thickBot="1" x14ac:dyDescent="0.25"/>
    <row r="43" spans="1:18" ht="36.950000000000003" customHeight="1" thickBot="1" x14ac:dyDescent="0.3">
      <c r="A43" s="89" t="s">
        <v>129</v>
      </c>
      <c r="B43" s="210" t="s">
        <v>203</v>
      </c>
      <c r="C43" s="211"/>
      <c r="D43" s="211"/>
      <c r="E43" s="211"/>
      <c r="F43" s="211"/>
      <c r="G43" s="211"/>
      <c r="H43" s="211"/>
      <c r="I43" s="211"/>
      <c r="J43" s="211"/>
      <c r="K43" s="211"/>
      <c r="L43" s="211"/>
      <c r="M43" s="211"/>
      <c r="N43" s="211"/>
      <c r="O43" s="211"/>
      <c r="P43" s="211"/>
    </row>
    <row r="44" spans="1:18" ht="42.95" customHeight="1" x14ac:dyDescent="0.25">
      <c r="A44" s="119" t="s">
        <v>118</v>
      </c>
      <c r="B44" s="208" t="s">
        <v>196</v>
      </c>
      <c r="C44" s="209"/>
      <c r="D44" s="209"/>
      <c r="E44" s="209"/>
      <c r="F44" s="209"/>
      <c r="G44" s="209"/>
      <c r="H44" s="209"/>
      <c r="I44" s="209"/>
      <c r="J44" s="209"/>
      <c r="K44" s="209"/>
      <c r="L44" s="209"/>
      <c r="M44" s="209"/>
      <c r="N44" s="209"/>
      <c r="O44" s="209"/>
      <c r="P44" s="209"/>
      <c r="R44">
        <v>294.89999999999998</v>
      </c>
    </row>
    <row r="45" spans="1:18" ht="50.1" customHeight="1" x14ac:dyDescent="0.25">
      <c r="A45" s="119" t="s">
        <v>195</v>
      </c>
      <c r="B45" s="208" t="s">
        <v>194</v>
      </c>
      <c r="C45" s="209"/>
      <c r="D45" s="209"/>
      <c r="E45" s="209"/>
      <c r="F45" s="209"/>
      <c r="G45" s="209"/>
      <c r="H45" s="209"/>
      <c r="I45" s="209"/>
      <c r="J45" s="209"/>
      <c r="K45" s="209"/>
      <c r="L45" s="209"/>
      <c r="M45" s="209"/>
      <c r="N45" s="209"/>
      <c r="O45" s="209"/>
      <c r="P45" s="209"/>
    </row>
    <row r="46" spans="1:18" ht="15" customHeight="1" x14ac:dyDescent="0.25">
      <c r="A46" s="119"/>
      <c r="B46" s="94"/>
      <c r="C46" s="95"/>
      <c r="D46" s="95"/>
      <c r="E46" s="95"/>
      <c r="F46" s="95"/>
      <c r="G46" s="95"/>
      <c r="H46" s="95"/>
      <c r="I46" s="95"/>
      <c r="J46" s="95"/>
      <c r="K46" s="95"/>
      <c r="L46" s="95"/>
      <c r="M46" s="95"/>
      <c r="N46" s="95"/>
      <c r="O46" s="95"/>
      <c r="P46" s="95"/>
    </row>
    <row r="47" spans="1:18" ht="15" customHeight="1" thickBot="1" x14ac:dyDescent="0.25">
      <c r="B47" s="217" t="s">
        <v>209</v>
      </c>
      <c r="C47" s="217"/>
      <c r="D47" s="217"/>
      <c r="E47" s="217"/>
      <c r="F47" s="217"/>
      <c r="G47" s="217"/>
      <c r="H47" s="217"/>
      <c r="I47" s="217"/>
      <c r="J47" s="217"/>
      <c r="K47" s="217"/>
      <c r="L47" s="217"/>
      <c r="M47" s="217"/>
      <c r="N47" s="217"/>
      <c r="O47" s="217"/>
      <c r="P47" s="217"/>
    </row>
    <row r="48" spans="1:18" ht="40.5" customHeight="1" thickBot="1" x14ac:dyDescent="0.3">
      <c r="A48" s="89" t="s">
        <v>134</v>
      </c>
      <c r="B48" s="208" t="s">
        <v>135</v>
      </c>
      <c r="C48" s="209"/>
      <c r="D48" s="209"/>
      <c r="E48" s="209"/>
      <c r="F48" s="209"/>
      <c r="G48" s="209"/>
      <c r="H48" s="209"/>
      <c r="I48" s="209"/>
      <c r="J48" s="209"/>
      <c r="K48" s="209"/>
      <c r="L48" s="209"/>
      <c r="M48" s="209"/>
      <c r="N48" s="209"/>
      <c r="O48" s="209"/>
      <c r="P48" s="209"/>
    </row>
    <row r="49" spans="1:18" ht="15.75" x14ac:dyDescent="0.25">
      <c r="B49" s="58" t="s">
        <v>118</v>
      </c>
      <c r="R49">
        <v>97</v>
      </c>
    </row>
    <row r="50" spans="1:18" ht="13.5" thickBot="1" x14ac:dyDescent="0.25"/>
    <row r="51" spans="1:18" ht="16.5" thickBot="1" x14ac:dyDescent="0.3">
      <c r="B51" s="91" t="s">
        <v>136</v>
      </c>
    </row>
    <row r="52" spans="1:18" ht="16.5" thickBot="1" x14ac:dyDescent="0.3">
      <c r="B52" s="218" t="s">
        <v>204</v>
      </c>
      <c r="C52" s="218"/>
      <c r="D52" s="218"/>
      <c r="E52" s="218"/>
      <c r="F52" s="218"/>
      <c r="G52" s="218"/>
      <c r="H52" s="218"/>
      <c r="I52" s="218"/>
      <c r="J52" s="218"/>
      <c r="K52" s="218"/>
      <c r="L52" s="218"/>
      <c r="M52" s="218"/>
      <c r="N52" s="218"/>
      <c r="O52" s="218"/>
      <c r="P52" s="218"/>
    </row>
    <row r="53" spans="1:18" ht="82.5" customHeight="1" thickBot="1" x14ac:dyDescent="0.3">
      <c r="A53" s="89" t="s">
        <v>137</v>
      </c>
      <c r="B53" s="208" t="s">
        <v>138</v>
      </c>
      <c r="C53" s="209"/>
      <c r="D53" s="209"/>
      <c r="E53" s="209"/>
      <c r="F53" s="209"/>
      <c r="G53" s="209"/>
      <c r="H53" s="209"/>
      <c r="I53" s="209"/>
      <c r="J53" s="209"/>
      <c r="K53" s="209"/>
      <c r="L53" s="209"/>
      <c r="M53" s="209"/>
      <c r="N53" s="209"/>
      <c r="O53" s="209"/>
      <c r="P53" s="209"/>
    </row>
    <row r="54" spans="1:18" ht="15.75" x14ac:dyDescent="0.25">
      <c r="B54" s="88" t="s">
        <v>117</v>
      </c>
      <c r="R54">
        <v>424</v>
      </c>
    </row>
    <row r="55" spans="1:18" ht="15.75" x14ac:dyDescent="0.25">
      <c r="B55" s="58" t="s">
        <v>119</v>
      </c>
    </row>
    <row r="56" spans="1:18" ht="15.75" x14ac:dyDescent="0.25">
      <c r="B56" s="58" t="s">
        <v>123</v>
      </c>
    </row>
    <row r="57" spans="1:18" ht="15.75" x14ac:dyDescent="0.25">
      <c r="B57" s="58" t="s">
        <v>132</v>
      </c>
    </row>
    <row r="58" spans="1:18" ht="15.75" x14ac:dyDescent="0.25">
      <c r="B58" s="58"/>
    </row>
    <row r="59" spans="1:18" ht="15.95" customHeight="1" thickBot="1" x14ac:dyDescent="0.25">
      <c r="B59" s="217" t="s">
        <v>197</v>
      </c>
      <c r="C59" s="217"/>
      <c r="D59" s="217"/>
      <c r="E59" s="217"/>
      <c r="F59" s="217"/>
      <c r="G59" s="217"/>
      <c r="H59" s="217"/>
      <c r="I59" s="217"/>
      <c r="J59" s="217"/>
      <c r="K59" s="217"/>
      <c r="L59" s="217"/>
      <c r="M59" s="217"/>
      <c r="N59" s="217"/>
      <c r="O59" s="217"/>
      <c r="P59" s="217"/>
    </row>
    <row r="60" spans="1:18" ht="22.5" customHeight="1" thickBot="1" x14ac:dyDescent="0.3">
      <c r="A60" s="89" t="s">
        <v>121</v>
      </c>
      <c r="B60" s="208" t="s">
        <v>139</v>
      </c>
      <c r="C60" s="209"/>
      <c r="D60" s="209"/>
      <c r="E60" s="209"/>
      <c r="F60" s="209"/>
      <c r="G60" s="209"/>
      <c r="H60" s="209"/>
      <c r="I60" s="209"/>
      <c r="J60" s="209"/>
      <c r="K60" s="209"/>
      <c r="L60" s="209"/>
      <c r="M60" s="209"/>
      <c r="N60" s="209"/>
      <c r="O60" s="209"/>
      <c r="P60" s="209"/>
    </row>
    <row r="61" spans="1:18" ht="15.75" x14ac:dyDescent="0.25">
      <c r="B61" s="58" t="s">
        <v>118</v>
      </c>
      <c r="R61">
        <v>93</v>
      </c>
    </row>
    <row r="62" spans="1:18" ht="15.75" x14ac:dyDescent="0.25">
      <c r="B62" s="58"/>
    </row>
    <row r="63" spans="1:18" ht="15" customHeight="1" thickBot="1" x14ac:dyDescent="0.25">
      <c r="B63" s="217" t="s">
        <v>207</v>
      </c>
      <c r="C63" s="217"/>
      <c r="D63" s="217"/>
      <c r="E63" s="217"/>
      <c r="F63" s="217"/>
      <c r="G63" s="217"/>
      <c r="H63" s="217"/>
      <c r="I63" s="217"/>
      <c r="J63" s="217"/>
      <c r="K63" s="217"/>
      <c r="L63" s="217"/>
      <c r="M63" s="217"/>
      <c r="N63" s="217"/>
      <c r="O63" s="217"/>
      <c r="P63" s="217"/>
    </row>
    <row r="64" spans="1:18" ht="51" customHeight="1" thickBot="1" x14ac:dyDescent="0.3">
      <c r="A64" s="89" t="s">
        <v>129</v>
      </c>
      <c r="B64" s="208" t="s">
        <v>140</v>
      </c>
      <c r="C64" s="209"/>
      <c r="D64" s="209"/>
      <c r="E64" s="209"/>
      <c r="F64" s="209"/>
      <c r="G64" s="209"/>
      <c r="H64" s="209"/>
      <c r="I64" s="209"/>
      <c r="J64" s="209"/>
      <c r="K64" s="209"/>
      <c r="L64" s="209"/>
      <c r="M64" s="209"/>
      <c r="N64" s="209"/>
      <c r="O64" s="209"/>
      <c r="P64" s="209"/>
    </row>
    <row r="65" spans="1:18" ht="15.75" x14ac:dyDescent="0.25">
      <c r="B65" s="88" t="s">
        <v>117</v>
      </c>
      <c r="R65">
        <v>98</v>
      </c>
    </row>
    <row r="66" spans="1:18" ht="13.5" thickBot="1" x14ac:dyDescent="0.25"/>
    <row r="67" spans="1:18" ht="16.5" thickBot="1" x14ac:dyDescent="0.3">
      <c r="B67" s="91" t="s">
        <v>141</v>
      </c>
    </row>
    <row r="68" spans="1:18" ht="15.95" customHeight="1" thickBot="1" x14ac:dyDescent="0.3">
      <c r="B68" s="218" t="s">
        <v>198</v>
      </c>
      <c r="C68" s="218"/>
      <c r="D68" s="218"/>
      <c r="E68" s="218"/>
      <c r="F68" s="218"/>
      <c r="G68" s="218"/>
      <c r="H68" s="218"/>
      <c r="I68" s="218"/>
      <c r="J68" s="218"/>
      <c r="K68" s="218"/>
      <c r="L68" s="218"/>
      <c r="M68" s="218"/>
      <c r="N68" s="218"/>
      <c r="O68" s="218"/>
      <c r="P68" s="218"/>
    </row>
    <row r="69" spans="1:18" ht="35.25" customHeight="1" thickBot="1" x14ac:dyDescent="0.3">
      <c r="A69" s="89" t="s">
        <v>120</v>
      </c>
      <c r="B69" s="208" t="s">
        <v>142</v>
      </c>
      <c r="C69" s="209"/>
      <c r="D69" s="209"/>
      <c r="E69" s="209"/>
      <c r="F69" s="209"/>
      <c r="G69" s="209"/>
      <c r="H69" s="209"/>
      <c r="I69" s="209"/>
      <c r="J69" s="209"/>
      <c r="K69" s="209"/>
      <c r="L69" s="209"/>
      <c r="M69" s="209"/>
      <c r="N69" s="209"/>
      <c r="O69" s="209"/>
      <c r="P69" s="209"/>
    </row>
    <row r="70" spans="1:18" ht="15.75" x14ac:dyDescent="0.25">
      <c r="B70" s="88" t="s">
        <v>117</v>
      </c>
      <c r="R70">
        <v>188</v>
      </c>
    </row>
    <row r="71" spans="1:18" ht="15.75" x14ac:dyDescent="0.25">
      <c r="B71" s="58" t="s">
        <v>123</v>
      </c>
    </row>
    <row r="72" spans="1:18" ht="15.75" x14ac:dyDescent="0.25">
      <c r="B72" s="58"/>
    </row>
    <row r="73" spans="1:18" ht="16.5" thickBot="1" x14ac:dyDescent="0.3">
      <c r="B73" s="218" t="s">
        <v>199</v>
      </c>
      <c r="C73" s="218"/>
      <c r="D73" s="218"/>
      <c r="E73" s="218"/>
      <c r="F73" s="218"/>
      <c r="G73" s="218"/>
      <c r="H73" s="218"/>
      <c r="I73" s="218"/>
      <c r="J73" s="218"/>
      <c r="K73" s="218"/>
      <c r="L73" s="218"/>
      <c r="M73" s="218"/>
      <c r="N73" s="218"/>
      <c r="O73" s="218"/>
      <c r="P73" s="218"/>
    </row>
    <row r="74" spans="1:18" ht="33" customHeight="1" thickBot="1" x14ac:dyDescent="0.3">
      <c r="A74" s="89" t="s">
        <v>121</v>
      </c>
      <c r="B74" s="208" t="s">
        <v>143</v>
      </c>
      <c r="C74" s="209"/>
      <c r="D74" s="209"/>
      <c r="E74" s="209"/>
      <c r="F74" s="209"/>
      <c r="G74" s="209"/>
      <c r="H74" s="209"/>
      <c r="I74" s="209"/>
      <c r="J74" s="209"/>
      <c r="K74" s="209"/>
      <c r="L74" s="209"/>
      <c r="M74" s="209"/>
      <c r="N74" s="209"/>
      <c r="O74" s="209"/>
      <c r="P74" s="209"/>
    </row>
    <row r="75" spans="1:18" ht="15.75" x14ac:dyDescent="0.25">
      <c r="B75" s="58" t="s">
        <v>119</v>
      </c>
      <c r="R75">
        <v>98</v>
      </c>
    </row>
    <row r="76" spans="1:18" ht="15.75" x14ac:dyDescent="0.25">
      <c r="B76" s="58"/>
    </row>
    <row r="77" spans="1:18" ht="16.5" thickBot="1" x14ac:dyDescent="0.3">
      <c r="B77" s="218" t="s">
        <v>211</v>
      </c>
      <c r="C77" s="218"/>
      <c r="D77" s="218"/>
      <c r="E77" s="218"/>
      <c r="F77" s="218"/>
      <c r="G77" s="218"/>
      <c r="H77" s="218"/>
      <c r="I77" s="218"/>
      <c r="J77" s="218"/>
      <c r="K77" s="218"/>
      <c r="L77" s="218"/>
      <c r="M77" s="218"/>
      <c r="N77" s="218"/>
      <c r="O77" s="218"/>
      <c r="P77" s="218"/>
    </row>
    <row r="78" spans="1:18" ht="53.25" customHeight="1" thickBot="1" x14ac:dyDescent="0.3">
      <c r="A78" s="89" t="s">
        <v>129</v>
      </c>
      <c r="B78" s="208" t="s">
        <v>144</v>
      </c>
      <c r="C78" s="209"/>
      <c r="D78" s="209"/>
      <c r="E78" s="209"/>
      <c r="F78" s="209"/>
      <c r="G78" s="209"/>
      <c r="H78" s="209"/>
      <c r="I78" s="209"/>
      <c r="J78" s="209"/>
      <c r="K78" s="209"/>
      <c r="L78" s="209"/>
      <c r="M78" s="209"/>
      <c r="N78" s="209"/>
      <c r="O78" s="209"/>
      <c r="P78" s="209"/>
    </row>
    <row r="79" spans="1:18" ht="15.75" x14ac:dyDescent="0.25">
      <c r="B79" s="58" t="s">
        <v>118</v>
      </c>
      <c r="R79">
        <v>309</v>
      </c>
    </row>
    <row r="80" spans="1:18" ht="15.75" x14ac:dyDescent="0.25">
      <c r="B80" s="58" t="s">
        <v>132</v>
      </c>
    </row>
    <row r="81" spans="1:21" ht="15.75" x14ac:dyDescent="0.25">
      <c r="B81" s="58" t="s">
        <v>119</v>
      </c>
    </row>
    <row r="82" spans="1:21" ht="15.75" x14ac:dyDescent="0.25">
      <c r="B82" s="58"/>
    </row>
    <row r="83" spans="1:21" ht="15.95" customHeight="1" thickBot="1" x14ac:dyDescent="0.25">
      <c r="B83" s="217" t="s">
        <v>208</v>
      </c>
      <c r="C83" s="217"/>
      <c r="D83" s="217"/>
      <c r="E83" s="217"/>
      <c r="F83" s="217"/>
      <c r="G83" s="217"/>
      <c r="H83" s="217"/>
      <c r="I83" s="217"/>
      <c r="J83" s="217"/>
      <c r="K83" s="217"/>
      <c r="L83" s="217"/>
      <c r="M83" s="217"/>
      <c r="N83" s="217"/>
      <c r="O83" s="217"/>
      <c r="P83" s="217"/>
    </row>
    <row r="84" spans="1:21" ht="32.25" customHeight="1" thickBot="1" x14ac:dyDescent="0.3">
      <c r="A84" s="89" t="s">
        <v>134</v>
      </c>
      <c r="B84" s="208" t="s">
        <v>145</v>
      </c>
      <c r="C84" s="209"/>
      <c r="D84" s="209"/>
      <c r="E84" s="209"/>
      <c r="F84" s="209"/>
      <c r="G84" s="209"/>
      <c r="H84" s="209"/>
      <c r="I84" s="209"/>
      <c r="J84" s="209"/>
      <c r="K84" s="209"/>
      <c r="L84" s="209"/>
      <c r="M84" s="209"/>
      <c r="N84" s="209"/>
      <c r="O84" s="209"/>
      <c r="P84" s="209"/>
    </row>
    <row r="85" spans="1:21" ht="15.75" x14ac:dyDescent="0.25">
      <c r="B85" s="58" t="s">
        <v>242</v>
      </c>
      <c r="R85">
        <v>98</v>
      </c>
    </row>
    <row r="88" spans="1:21" x14ac:dyDescent="0.2">
      <c r="R88" s="96">
        <f>SUM(R3:R87)</f>
        <v>3480.5</v>
      </c>
      <c r="S88" s="96"/>
      <c r="T88" s="96"/>
      <c r="U88" s="96"/>
    </row>
    <row r="89" spans="1:21" ht="15.75" x14ac:dyDescent="0.25">
      <c r="C89" s="51" t="s">
        <v>243</v>
      </c>
      <c r="H89" s="216" t="s">
        <v>244</v>
      </c>
      <c r="I89" s="216"/>
    </row>
    <row r="93" spans="1:21" ht="15.75" x14ac:dyDescent="0.25">
      <c r="C93" s="216" t="s">
        <v>245</v>
      </c>
      <c r="D93" s="216"/>
      <c r="F93" s="33"/>
      <c r="G93" s="33"/>
      <c r="H93" s="216" t="s">
        <v>246</v>
      </c>
      <c r="I93" s="216"/>
    </row>
    <row r="97" spans="12:12" x14ac:dyDescent="0.2">
      <c r="L97" s="33"/>
    </row>
  </sheetData>
  <mergeCells count="45">
    <mergeCell ref="B31:P31"/>
    <mergeCell ref="B52:P52"/>
    <mergeCell ref="B8:P8"/>
    <mergeCell ref="B13:P13"/>
    <mergeCell ref="B25:P25"/>
    <mergeCell ref="B29:P29"/>
    <mergeCell ref="B35:P35"/>
    <mergeCell ref="B47:P47"/>
    <mergeCell ref="B30:P30"/>
    <mergeCell ref="B40:P40"/>
    <mergeCell ref="B41:P41"/>
    <mergeCell ref="B44:P44"/>
    <mergeCell ref="B45:P45"/>
    <mergeCell ref="B36:P36"/>
    <mergeCell ref="B39:P39"/>
    <mergeCell ref="B59:P59"/>
    <mergeCell ref="B63:P63"/>
    <mergeCell ref="B68:P68"/>
    <mergeCell ref="B73:P73"/>
    <mergeCell ref="B77:P77"/>
    <mergeCell ref="B64:P64"/>
    <mergeCell ref="B69:P69"/>
    <mergeCell ref="B74:P74"/>
    <mergeCell ref="B60:P60"/>
    <mergeCell ref="H89:I89"/>
    <mergeCell ref="C93:D93"/>
    <mergeCell ref="H93:I93"/>
    <mergeCell ref="B84:P84"/>
    <mergeCell ref="B83:P83"/>
    <mergeCell ref="B78:P78"/>
    <mergeCell ref="B3:P3"/>
    <mergeCell ref="B9:P9"/>
    <mergeCell ref="B14:P14"/>
    <mergeCell ref="B18:P18"/>
    <mergeCell ref="B26:P26"/>
    <mergeCell ref="B20:P20"/>
    <mergeCell ref="B21:P21"/>
    <mergeCell ref="B22:P22"/>
    <mergeCell ref="B4:P4"/>
    <mergeCell ref="B5:P5"/>
    <mergeCell ref="B6:P6"/>
    <mergeCell ref="B19:P19"/>
    <mergeCell ref="B43:P43"/>
    <mergeCell ref="B48:P48"/>
    <mergeCell ref="B53:P53"/>
  </mergeCells>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O20"/>
  <sheetViews>
    <sheetView workbookViewId="0">
      <selection activeCell="G11" sqref="G11"/>
    </sheetView>
  </sheetViews>
  <sheetFormatPr defaultRowHeight="12.75" x14ac:dyDescent="0.2"/>
  <cols>
    <col min="1" max="1" width="8.42578125" customWidth="1"/>
    <col min="2" max="2" width="33.28515625" customWidth="1"/>
    <col min="3" max="3" width="11" customWidth="1"/>
    <col min="4" max="4" width="21.140625" customWidth="1"/>
    <col min="5" max="5" width="12.5703125" customWidth="1"/>
    <col min="6" max="7" width="21.140625" customWidth="1"/>
    <col min="8" max="8" width="16.140625" customWidth="1"/>
    <col min="9" max="9" width="6.140625" customWidth="1"/>
    <col min="11" max="11" width="35" customWidth="1"/>
    <col min="12" max="12" width="11.7109375" customWidth="1"/>
    <col min="13" max="13" width="19.140625" customWidth="1"/>
    <col min="14" max="14" width="14" customWidth="1"/>
    <col min="15" max="15" width="18.28515625" customWidth="1"/>
  </cols>
  <sheetData>
    <row r="3" spans="1:15" ht="20.25" x14ac:dyDescent="0.3">
      <c r="A3" s="219" t="s">
        <v>65</v>
      </c>
      <c r="B3" s="219"/>
      <c r="C3" s="219"/>
      <c r="D3" s="219"/>
      <c r="E3" s="219"/>
      <c r="F3" s="219"/>
      <c r="G3" s="18"/>
      <c r="J3" s="220"/>
      <c r="K3" s="220"/>
      <c r="L3" s="220"/>
      <c r="M3" s="220"/>
      <c r="N3" s="220"/>
      <c r="O3" s="220"/>
    </row>
    <row r="5" spans="1:15" ht="110.25" customHeight="1" x14ac:dyDescent="0.3">
      <c r="A5" s="15" t="s">
        <v>40</v>
      </c>
      <c r="B5" s="15" t="s">
        <v>41</v>
      </c>
      <c r="C5" s="16" t="s">
        <v>42</v>
      </c>
      <c r="D5" s="16" t="s">
        <v>66</v>
      </c>
      <c r="E5" s="16" t="s">
        <v>42</v>
      </c>
      <c r="F5" s="16" t="s">
        <v>67</v>
      </c>
      <c r="G5" s="16" t="s">
        <v>55</v>
      </c>
      <c r="J5" s="23"/>
      <c r="K5" s="23"/>
      <c r="L5" s="24"/>
      <c r="M5" s="24"/>
      <c r="N5" s="24"/>
      <c r="O5" s="24"/>
    </row>
    <row r="6" spans="1:15" ht="18.75" x14ac:dyDescent="0.3">
      <c r="A6" s="10">
        <v>1</v>
      </c>
      <c r="B6" s="10" t="s">
        <v>43</v>
      </c>
      <c r="C6" s="10">
        <v>0.5</v>
      </c>
      <c r="D6" s="12">
        <v>124538.4</v>
      </c>
      <c r="E6" s="10">
        <v>0.5</v>
      </c>
      <c r="F6" s="12">
        <v>111195</v>
      </c>
      <c r="G6" s="12">
        <f t="shared" ref="G6:G11" si="0">SUM(D6+F6)</f>
        <v>235733.4</v>
      </c>
      <c r="J6" s="17"/>
      <c r="K6" s="19"/>
      <c r="L6" s="17"/>
      <c r="M6" s="20"/>
      <c r="N6" s="17"/>
      <c r="O6" s="17"/>
    </row>
    <row r="7" spans="1:15" ht="18.75" x14ac:dyDescent="0.3">
      <c r="A7" s="10">
        <v>2</v>
      </c>
      <c r="B7" s="10" t="s">
        <v>44</v>
      </c>
      <c r="C7" s="10">
        <v>0.5</v>
      </c>
      <c r="D7" s="12">
        <v>124538.4</v>
      </c>
      <c r="E7" s="10">
        <v>0.5</v>
      </c>
      <c r="F7" s="12">
        <v>111195</v>
      </c>
      <c r="G7" s="12">
        <f t="shared" si="0"/>
        <v>235733.4</v>
      </c>
      <c r="J7" s="17"/>
      <c r="K7" s="17"/>
      <c r="L7" s="17"/>
      <c r="M7" s="20"/>
      <c r="N7" s="17"/>
      <c r="O7" s="17"/>
    </row>
    <row r="8" spans="1:15" ht="18.75" x14ac:dyDescent="0.3">
      <c r="A8" s="10">
        <v>3</v>
      </c>
      <c r="B8" s="10" t="s">
        <v>45</v>
      </c>
      <c r="C8" s="10">
        <v>0.75</v>
      </c>
      <c r="D8" s="12">
        <v>186799.2</v>
      </c>
      <c r="E8" s="10">
        <v>0.25</v>
      </c>
      <c r="F8" s="12">
        <v>55590</v>
      </c>
      <c r="G8" s="12">
        <f t="shared" si="0"/>
        <v>242389.2</v>
      </c>
      <c r="J8" s="17"/>
      <c r="K8" s="17"/>
      <c r="L8" s="17"/>
      <c r="M8" s="20"/>
      <c r="N8" s="17"/>
      <c r="O8" s="17"/>
    </row>
    <row r="9" spans="1:15" ht="18.75" x14ac:dyDescent="0.3">
      <c r="A9" s="10">
        <v>4</v>
      </c>
      <c r="B9" s="10" t="s">
        <v>46</v>
      </c>
      <c r="C9" s="10">
        <v>0.75</v>
      </c>
      <c r="D9" s="12">
        <v>213360</v>
      </c>
      <c r="E9" s="10">
        <v>0.25</v>
      </c>
      <c r="F9" s="12">
        <v>63495</v>
      </c>
      <c r="G9" s="12">
        <f t="shared" si="0"/>
        <v>276855</v>
      </c>
      <c r="J9" s="17"/>
      <c r="K9" s="17"/>
      <c r="L9" s="17"/>
      <c r="M9" s="20"/>
      <c r="N9" s="17"/>
      <c r="O9" s="17"/>
    </row>
    <row r="10" spans="1:15" ht="18.75" x14ac:dyDescent="0.3">
      <c r="A10" s="10">
        <v>5</v>
      </c>
      <c r="B10" s="10" t="s">
        <v>114</v>
      </c>
      <c r="C10" s="10">
        <v>0.75</v>
      </c>
      <c r="D10" s="12">
        <v>225254.2</v>
      </c>
      <c r="E10" s="10">
        <v>0.25</v>
      </c>
      <c r="F10" s="12">
        <v>67035</v>
      </c>
      <c r="G10" s="12">
        <f t="shared" si="0"/>
        <v>292289.2</v>
      </c>
      <c r="J10" s="17"/>
      <c r="K10" s="17"/>
      <c r="L10" s="17"/>
      <c r="M10" s="20"/>
      <c r="N10" s="17"/>
      <c r="O10" s="17"/>
    </row>
    <row r="11" spans="1:15" ht="36" customHeight="1" x14ac:dyDescent="0.3">
      <c r="A11" s="10">
        <v>6</v>
      </c>
      <c r="B11" s="11" t="s">
        <v>48</v>
      </c>
      <c r="C11" s="10">
        <f>SUM(C6:C10)</f>
        <v>3.25</v>
      </c>
      <c r="D11" s="10">
        <v>571730.88</v>
      </c>
      <c r="E11" s="10">
        <f>SUM(E6:E10)</f>
        <v>1.75</v>
      </c>
      <c r="F11" s="10"/>
      <c r="G11" s="10">
        <f t="shared" si="0"/>
        <v>571730.88</v>
      </c>
      <c r="J11" s="17"/>
      <c r="K11" s="19"/>
      <c r="L11" s="17"/>
      <c r="M11" s="17"/>
      <c r="N11" s="17"/>
      <c r="O11" s="17"/>
    </row>
    <row r="12" spans="1:15" ht="18.75" x14ac:dyDescent="0.3">
      <c r="A12" s="10"/>
      <c r="B12" s="10"/>
      <c r="C12" s="10"/>
      <c r="D12" s="10"/>
      <c r="E12" s="10"/>
      <c r="F12" s="10"/>
      <c r="G12" s="10"/>
      <c r="J12" s="17"/>
      <c r="K12" s="17"/>
      <c r="L12" s="17"/>
      <c r="M12" s="17"/>
      <c r="N12" s="17"/>
      <c r="O12" s="17"/>
    </row>
    <row r="13" spans="1:15" ht="18.75" x14ac:dyDescent="0.3">
      <c r="A13" s="10"/>
      <c r="B13" s="13" t="s">
        <v>50</v>
      </c>
      <c r="C13" s="13"/>
      <c r="D13" s="14">
        <f>SUM(D6:D12)</f>
        <v>1446221.08</v>
      </c>
      <c r="E13" s="14"/>
      <c r="F13" s="14">
        <f>SUM(F6:F12)</f>
        <v>408510</v>
      </c>
      <c r="G13" s="14">
        <f>SUM(G6:G12)</f>
        <v>1854731.08</v>
      </c>
      <c r="J13" s="17"/>
      <c r="K13" s="21"/>
      <c r="L13" s="21"/>
      <c r="M13" s="22"/>
      <c r="N13" s="22"/>
      <c r="O13" s="22"/>
    </row>
    <row r="14" spans="1:15" ht="18.75" x14ac:dyDescent="0.3">
      <c r="A14" s="10"/>
      <c r="B14" s="13"/>
      <c r="C14" s="13"/>
      <c r="D14" s="14"/>
      <c r="E14" s="14"/>
      <c r="F14" s="13"/>
      <c r="G14" s="13"/>
      <c r="J14" s="17"/>
      <c r="K14" s="21"/>
      <c r="L14" s="21"/>
      <c r="M14" s="22"/>
      <c r="N14" s="22"/>
      <c r="O14" s="21"/>
    </row>
    <row r="15" spans="1:15" ht="18.75" x14ac:dyDescent="0.3">
      <c r="A15" s="10"/>
      <c r="B15" s="10"/>
      <c r="C15" s="10"/>
      <c r="D15" s="10"/>
      <c r="E15" s="10"/>
      <c r="F15" s="10"/>
      <c r="G15" s="10"/>
      <c r="J15" s="17"/>
      <c r="K15" s="21"/>
      <c r="L15" s="17"/>
      <c r="M15" s="22"/>
      <c r="N15" s="21"/>
      <c r="O15" s="22"/>
    </row>
    <row r="16" spans="1:15" ht="18.75" x14ac:dyDescent="0.3">
      <c r="A16" s="10"/>
      <c r="B16" s="10"/>
      <c r="C16" s="10"/>
      <c r="D16" s="10"/>
      <c r="E16" s="10"/>
      <c r="F16" s="10"/>
      <c r="G16" s="10"/>
      <c r="J16" s="17"/>
      <c r="K16" s="17"/>
      <c r="L16" s="17"/>
      <c r="M16" s="17"/>
      <c r="N16" s="17"/>
      <c r="O16" s="17"/>
    </row>
    <row r="17" spans="1:15" ht="18.75" x14ac:dyDescent="0.3">
      <c r="A17" s="10"/>
      <c r="B17" s="10"/>
      <c r="C17" s="10"/>
      <c r="D17" s="10"/>
      <c r="E17" s="10"/>
      <c r="F17" s="10"/>
      <c r="G17" s="10"/>
      <c r="J17" s="17"/>
      <c r="K17" s="17"/>
      <c r="L17" s="17"/>
      <c r="M17" s="17"/>
      <c r="N17" s="17"/>
      <c r="O17" s="17"/>
    </row>
    <row r="20" spans="1:15" ht="18.75" x14ac:dyDescent="0.3">
      <c r="A20" s="17"/>
      <c r="B20" s="17"/>
      <c r="C20" s="17"/>
      <c r="D20" s="17"/>
      <c r="E20" s="17"/>
      <c r="F20" s="17"/>
      <c r="G20" s="17"/>
    </row>
  </sheetData>
  <mergeCells count="2">
    <mergeCell ref="A3:F3"/>
    <mergeCell ref="J3:O3"/>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P45"/>
  <sheetViews>
    <sheetView topLeftCell="A40" workbookViewId="0">
      <selection activeCell="H47" sqref="H47"/>
    </sheetView>
  </sheetViews>
  <sheetFormatPr defaultRowHeight="12.75" x14ac:dyDescent="0.2"/>
  <cols>
    <col min="3" max="3" width="8.42578125" customWidth="1"/>
    <col min="4" max="4" width="33.28515625" customWidth="1"/>
    <col min="6" max="6" width="16.140625" customWidth="1"/>
    <col min="7" max="7" width="16" customWidth="1"/>
    <col min="8" max="8" width="18.28515625" customWidth="1"/>
    <col min="10" max="10" width="6.140625" customWidth="1"/>
    <col min="12" max="12" width="35" customWidth="1"/>
    <col min="13" max="13" width="11.7109375" customWidth="1"/>
    <col min="14" max="14" width="19.140625" customWidth="1"/>
    <col min="15" max="15" width="14" customWidth="1"/>
    <col min="16" max="16" width="18.28515625" customWidth="1"/>
  </cols>
  <sheetData>
    <row r="3" spans="3:16" ht="20.25" x14ac:dyDescent="0.3">
      <c r="C3" s="219" t="s">
        <v>49</v>
      </c>
      <c r="D3" s="219"/>
      <c r="E3" s="219"/>
      <c r="F3" s="219"/>
      <c r="G3" s="219"/>
      <c r="H3" s="219"/>
      <c r="K3" s="219" t="s">
        <v>56</v>
      </c>
      <c r="L3" s="219"/>
      <c r="M3" s="219"/>
      <c r="N3" s="219"/>
      <c r="O3" s="219"/>
      <c r="P3" s="219"/>
    </row>
    <row r="5" spans="3:16" ht="75" x14ac:dyDescent="0.3">
      <c r="C5" s="15" t="s">
        <v>40</v>
      </c>
      <c r="D5" s="15" t="s">
        <v>41</v>
      </c>
      <c r="E5" s="16" t="s">
        <v>42</v>
      </c>
      <c r="F5" s="16" t="s">
        <v>47</v>
      </c>
      <c r="G5" s="16" t="s">
        <v>51</v>
      </c>
      <c r="H5" s="16" t="s">
        <v>52</v>
      </c>
      <c r="K5" s="15" t="s">
        <v>40</v>
      </c>
      <c r="L5" s="15" t="s">
        <v>41</v>
      </c>
      <c r="M5" s="16" t="s">
        <v>42</v>
      </c>
      <c r="N5" s="16" t="s">
        <v>47</v>
      </c>
      <c r="O5" s="16" t="s">
        <v>51</v>
      </c>
      <c r="P5" s="16" t="s">
        <v>52</v>
      </c>
    </row>
    <row r="6" spans="3:16" ht="37.5" x14ac:dyDescent="0.3">
      <c r="C6" s="10">
        <v>1</v>
      </c>
      <c r="D6" s="10" t="s">
        <v>43</v>
      </c>
      <c r="E6" s="10">
        <v>1</v>
      </c>
      <c r="F6" s="12">
        <f>SUM(ЗАРОБІТНА_ПЛАТА!G6)</f>
        <v>235733.4</v>
      </c>
      <c r="G6" s="10"/>
      <c r="H6" s="10"/>
      <c r="K6" s="10">
        <v>1</v>
      </c>
      <c r="L6" s="11" t="s">
        <v>54</v>
      </c>
      <c r="M6" s="10">
        <v>1</v>
      </c>
      <c r="N6" s="12">
        <v>256384.8</v>
      </c>
      <c r="O6" s="10"/>
      <c r="P6" s="10"/>
    </row>
    <row r="7" spans="3:16" ht="18.75" x14ac:dyDescent="0.3">
      <c r="C7" s="10">
        <v>2</v>
      </c>
      <c r="D7" s="10" t="s">
        <v>44</v>
      </c>
      <c r="E7" s="10">
        <v>1</v>
      </c>
      <c r="F7" s="12">
        <f>SUM(ЗАРОБІТНА_ПЛАТА!G7)</f>
        <v>235733.4</v>
      </c>
      <c r="G7" s="10"/>
      <c r="H7" s="10"/>
      <c r="K7" s="10"/>
      <c r="L7" s="10"/>
      <c r="M7" s="10"/>
      <c r="N7" s="12"/>
      <c r="O7" s="10"/>
      <c r="P7" s="10"/>
    </row>
    <row r="8" spans="3:16" ht="18.75" x14ac:dyDescent="0.3">
      <c r="C8" s="10">
        <v>3</v>
      </c>
      <c r="D8" s="10" t="s">
        <v>45</v>
      </c>
      <c r="E8" s="10">
        <v>1</v>
      </c>
      <c r="F8" s="12">
        <f>SUM(ЗАРОБІТНА_ПЛАТА!G8)</f>
        <v>242389.2</v>
      </c>
      <c r="G8" s="10"/>
      <c r="H8" s="10"/>
      <c r="K8" s="10"/>
      <c r="L8" s="10"/>
      <c r="M8" s="10"/>
      <c r="N8" s="12"/>
      <c r="O8" s="10"/>
      <c r="P8" s="10"/>
    </row>
    <row r="9" spans="3:16" ht="18.75" x14ac:dyDescent="0.3">
      <c r="C9" s="10">
        <v>4</v>
      </c>
      <c r="D9" s="10" t="s">
        <v>46</v>
      </c>
      <c r="E9" s="10">
        <v>1</v>
      </c>
      <c r="F9" s="12">
        <f>SUM(ЗАРОБІТНА_ПЛАТА!G9)</f>
        <v>276855</v>
      </c>
      <c r="G9" s="10"/>
      <c r="H9" s="10"/>
      <c r="K9" s="10"/>
      <c r="L9" s="10"/>
      <c r="M9" s="10"/>
      <c r="N9" s="12"/>
      <c r="O9" s="10"/>
      <c r="P9" s="10"/>
    </row>
    <row r="10" spans="3:16" ht="18.75" x14ac:dyDescent="0.3">
      <c r="C10" s="10">
        <v>5</v>
      </c>
      <c r="D10" s="10" t="s">
        <v>114</v>
      </c>
      <c r="E10" s="10">
        <v>1</v>
      </c>
      <c r="F10" s="12">
        <f>SUM(ЗАРОБІТНА_ПЛАТА!G10)</f>
        <v>292289.2</v>
      </c>
      <c r="G10" s="10"/>
      <c r="H10" s="10"/>
      <c r="K10" s="10"/>
      <c r="L10" s="10"/>
      <c r="M10" s="10"/>
      <c r="N10" s="12"/>
      <c r="O10" s="10"/>
      <c r="P10" s="10"/>
    </row>
    <row r="11" spans="3:16" ht="36" customHeight="1" x14ac:dyDescent="0.3">
      <c r="C11" s="10">
        <v>6</v>
      </c>
      <c r="D11" s="11" t="s">
        <v>48</v>
      </c>
      <c r="E11" s="10">
        <v>4</v>
      </c>
      <c r="F11" s="10">
        <f>SUM(ЗАРОБІТНА_ПЛАТА!G11)</f>
        <v>571730.88</v>
      </c>
      <c r="G11" s="10"/>
      <c r="H11" s="10"/>
      <c r="K11" s="10"/>
      <c r="L11" s="11"/>
      <c r="M11" s="10"/>
      <c r="N11" s="10"/>
      <c r="O11" s="10"/>
      <c r="P11" s="10"/>
    </row>
    <row r="12" spans="3:16" ht="18.75" x14ac:dyDescent="0.3">
      <c r="C12" s="10"/>
      <c r="D12" s="10"/>
      <c r="E12" s="10"/>
      <c r="F12" s="10"/>
      <c r="G12" s="10"/>
      <c r="H12" s="10"/>
      <c r="K12" s="10"/>
      <c r="L12" s="10"/>
      <c r="M12" s="10"/>
      <c r="N12" s="10"/>
      <c r="O12" s="10"/>
      <c r="P12" s="10"/>
    </row>
    <row r="13" spans="3:16" ht="18.75" x14ac:dyDescent="0.3">
      <c r="C13" s="10"/>
      <c r="D13" s="13" t="s">
        <v>50</v>
      </c>
      <c r="E13" s="13"/>
      <c r="F13" s="14">
        <f>SUM(F6:F12)</f>
        <v>1854731.08</v>
      </c>
      <c r="G13" s="14">
        <f>SUM(F13*30%)</f>
        <v>556419.32400000002</v>
      </c>
      <c r="H13" s="14">
        <f>SUM(F13*70%)</f>
        <v>1298311.7560000001</v>
      </c>
      <c r="K13" s="10"/>
      <c r="L13" s="13" t="s">
        <v>50</v>
      </c>
      <c r="M13" s="13"/>
      <c r="N13" s="14">
        <f>SUM(N6:N12)</f>
        <v>256384.8</v>
      </c>
      <c r="O13" s="14">
        <f>SUM(N13*50%)</f>
        <v>128192.4</v>
      </c>
      <c r="P13" s="14">
        <f>SUM(N13*50%)</f>
        <v>128192.4</v>
      </c>
    </row>
    <row r="14" spans="3:16" ht="18.75" x14ac:dyDescent="0.3">
      <c r="C14" s="10"/>
      <c r="D14" s="13" t="s">
        <v>53</v>
      </c>
      <c r="E14" s="13"/>
      <c r="F14" s="14">
        <f>SUM(F13*22%)</f>
        <v>408040.83760000003</v>
      </c>
      <c r="G14" s="14">
        <f>SUM(F14*30%)</f>
        <v>122412.25128</v>
      </c>
      <c r="H14" s="14">
        <f>SUM(F14*70%)</f>
        <v>285628.58632</v>
      </c>
      <c r="K14" s="10"/>
      <c r="L14" s="13" t="s">
        <v>53</v>
      </c>
      <c r="M14" s="13"/>
      <c r="N14" s="14">
        <f>SUM(N13*22%)</f>
        <v>56404.655999999995</v>
      </c>
      <c r="O14" s="14">
        <f>SUM(N14*50%)</f>
        <v>28202.327999999998</v>
      </c>
      <c r="P14" s="13">
        <f>SUM(N14*50%)</f>
        <v>28202.327999999998</v>
      </c>
    </row>
    <row r="15" spans="3:16" ht="18.75" x14ac:dyDescent="0.3">
      <c r="C15" s="10"/>
      <c r="D15" s="10"/>
      <c r="E15" s="10"/>
      <c r="F15" s="10"/>
      <c r="G15" s="10"/>
      <c r="H15" s="10"/>
      <c r="K15" s="10"/>
      <c r="L15" s="13" t="s">
        <v>55</v>
      </c>
      <c r="M15" s="10"/>
      <c r="N15" s="14">
        <f>SUM(N13:N14)</f>
        <v>312789.45600000001</v>
      </c>
      <c r="O15" s="13">
        <f>SUM(O13:O14)</f>
        <v>156394.728</v>
      </c>
      <c r="P15" s="14">
        <f>SUM(P13:P14)</f>
        <v>156394.728</v>
      </c>
    </row>
    <row r="16" spans="3:16" ht="18.75" x14ac:dyDescent="0.3">
      <c r="C16" s="10"/>
      <c r="D16" s="10"/>
      <c r="E16" s="10"/>
      <c r="F16" s="10"/>
      <c r="G16" s="10"/>
      <c r="H16" s="10"/>
      <c r="K16" s="10"/>
      <c r="L16" s="10"/>
      <c r="M16" s="10"/>
      <c r="N16" s="10"/>
      <c r="O16" s="10"/>
      <c r="P16" s="10"/>
    </row>
    <row r="17" spans="3:16" ht="18.75" x14ac:dyDescent="0.3">
      <c r="C17" s="10"/>
      <c r="D17" s="10"/>
      <c r="E17" s="10"/>
      <c r="F17" s="10"/>
      <c r="G17" s="10"/>
      <c r="H17" s="10"/>
      <c r="K17" s="10"/>
      <c r="L17" s="10"/>
      <c r="M17" s="10"/>
      <c r="N17" s="10"/>
      <c r="O17" s="10"/>
      <c r="P17" s="10"/>
    </row>
    <row r="18" spans="3:16" ht="18.75" x14ac:dyDescent="0.3">
      <c r="C18" s="17"/>
      <c r="D18" s="17"/>
      <c r="E18" s="17"/>
      <c r="F18" s="17"/>
      <c r="G18" s="17"/>
      <c r="H18" s="17"/>
      <c r="K18" s="17"/>
      <c r="L18" s="17"/>
      <c r="M18" s="17"/>
      <c r="N18" s="17"/>
      <c r="O18" s="17"/>
      <c r="P18" s="17"/>
    </row>
    <row r="19" spans="3:16" ht="18.75" x14ac:dyDescent="0.3">
      <c r="C19" s="17"/>
      <c r="D19" s="17"/>
      <c r="E19" s="17"/>
      <c r="F19" s="17"/>
      <c r="G19" s="17"/>
      <c r="H19" s="17"/>
      <c r="K19" s="17"/>
      <c r="L19" s="17"/>
      <c r="M19" s="17"/>
      <c r="N19" s="17"/>
      <c r="O19" s="17"/>
      <c r="P19" s="17"/>
    </row>
    <row r="20" spans="3:16" ht="18.75" x14ac:dyDescent="0.3">
      <c r="C20" s="17"/>
      <c r="D20" s="17"/>
      <c r="E20" s="17"/>
      <c r="F20" s="17"/>
      <c r="G20" s="17"/>
      <c r="H20" s="17"/>
      <c r="K20" s="17"/>
      <c r="L20" s="17"/>
      <c r="M20" s="17"/>
      <c r="N20" s="17"/>
      <c r="O20" s="17"/>
      <c r="P20" s="17"/>
    </row>
    <row r="22" spans="3:16" ht="15.75" x14ac:dyDescent="0.25">
      <c r="D22" s="221"/>
      <c r="E22" s="221"/>
      <c r="F22" s="221"/>
      <c r="G22" s="221"/>
    </row>
    <row r="23" spans="3:16" ht="18.75" x14ac:dyDescent="0.3">
      <c r="C23" s="17"/>
      <c r="D23" s="223"/>
      <c r="E23" s="223"/>
      <c r="F23" s="223"/>
      <c r="G23" s="223"/>
      <c r="H23" s="17"/>
    </row>
    <row r="24" spans="3:16" ht="18.75" x14ac:dyDescent="0.3">
      <c r="C24" s="17"/>
      <c r="D24" s="133"/>
      <c r="E24" s="133"/>
      <c r="F24" s="133"/>
      <c r="G24" s="133"/>
      <c r="H24" s="17"/>
    </row>
    <row r="25" spans="3:16" ht="18.75" x14ac:dyDescent="0.3">
      <c r="C25" s="17"/>
      <c r="D25" s="221" t="s">
        <v>252</v>
      </c>
      <c r="E25" s="221"/>
      <c r="F25" s="221"/>
      <c r="G25" s="221"/>
      <c r="H25" s="17"/>
    </row>
    <row r="26" spans="3:16" ht="18.75" x14ac:dyDescent="0.3">
      <c r="C26" s="17"/>
      <c r="D26" s="133"/>
      <c r="E26" s="133"/>
      <c r="F26" s="133"/>
      <c r="G26" s="133"/>
      <c r="H26" s="17"/>
    </row>
    <row r="27" spans="3:16" ht="37.5" x14ac:dyDescent="0.3">
      <c r="C27" s="15" t="s">
        <v>40</v>
      </c>
      <c r="D27" s="15" t="s">
        <v>58</v>
      </c>
      <c r="E27" s="15"/>
      <c r="F27" s="15" t="s">
        <v>59</v>
      </c>
      <c r="G27" s="16" t="s">
        <v>51</v>
      </c>
      <c r="H27" s="16" t="s">
        <v>52</v>
      </c>
    </row>
    <row r="28" spans="3:16" ht="37.5" x14ac:dyDescent="0.3">
      <c r="C28" s="10">
        <v>1</v>
      </c>
      <c r="D28" s="11" t="s">
        <v>57</v>
      </c>
      <c r="E28" s="10"/>
      <c r="F28" s="12">
        <v>39389.279999999999</v>
      </c>
      <c r="G28" s="12">
        <f>SUM(F28*30%)</f>
        <v>11816.784</v>
      </c>
      <c r="H28" s="10">
        <f>SUM(F28*70%)</f>
        <v>27572.495999999999</v>
      </c>
    </row>
    <row r="29" spans="3:16" ht="18.75" x14ac:dyDescent="0.3">
      <c r="C29" s="10">
        <v>2</v>
      </c>
      <c r="D29" s="10" t="s">
        <v>60</v>
      </c>
      <c r="E29" s="10"/>
      <c r="F29" s="12">
        <v>85970</v>
      </c>
      <c r="G29" s="12">
        <f t="shared" ref="G29:G30" si="0">SUM(F29*30%)</f>
        <v>25791</v>
      </c>
      <c r="H29" s="12">
        <f t="shared" ref="H29:H30" si="1">SUM(F29*70%)</f>
        <v>60178.999999999993</v>
      </c>
    </row>
    <row r="30" spans="3:16" ht="18.75" x14ac:dyDescent="0.3">
      <c r="C30" s="10">
        <v>3</v>
      </c>
      <c r="D30" s="10" t="s">
        <v>61</v>
      </c>
      <c r="E30" s="10"/>
      <c r="F30" s="12">
        <v>27131</v>
      </c>
      <c r="G30" s="12">
        <f t="shared" si="0"/>
        <v>8139.2999999999993</v>
      </c>
      <c r="H30" s="12">
        <f t="shared" si="1"/>
        <v>18991.699999999997</v>
      </c>
    </row>
    <row r="31" spans="3:16" ht="18.75" x14ac:dyDescent="0.3">
      <c r="C31" s="10"/>
      <c r="D31" s="10"/>
      <c r="E31" s="10"/>
      <c r="F31" s="10"/>
      <c r="G31" s="10"/>
      <c r="H31" s="10"/>
    </row>
    <row r="32" spans="3:16" ht="18.75" x14ac:dyDescent="0.3">
      <c r="C32" s="10"/>
      <c r="D32" s="13" t="s">
        <v>50</v>
      </c>
      <c r="E32" s="10"/>
      <c r="F32" s="14">
        <f>SUM(F28:F31)</f>
        <v>152490.28</v>
      </c>
      <c r="G32" s="13">
        <f>SUM(G28:G31)</f>
        <v>45747.084000000003</v>
      </c>
      <c r="H32" s="13">
        <f>SUM(H28:H31)</f>
        <v>106743.19599999998</v>
      </c>
    </row>
    <row r="33" spans="3:14" ht="18.75" x14ac:dyDescent="0.3">
      <c r="C33" s="10"/>
      <c r="D33" s="10"/>
      <c r="E33" s="10"/>
      <c r="F33" s="10"/>
      <c r="G33" s="10"/>
      <c r="H33" s="10"/>
    </row>
    <row r="34" spans="3:14" ht="18.75" x14ac:dyDescent="0.3">
      <c r="C34" s="10"/>
      <c r="D34" s="13" t="s">
        <v>62</v>
      </c>
      <c r="E34" s="10"/>
      <c r="F34" s="14">
        <v>133203.6</v>
      </c>
      <c r="G34" s="14">
        <f t="shared" ref="G34:G36" si="2">SUM(F34*30%)</f>
        <v>39961.08</v>
      </c>
      <c r="H34" s="14">
        <f t="shared" ref="H34:H36" si="3">SUM(F34*70%)</f>
        <v>93242.52</v>
      </c>
    </row>
    <row r="35" spans="3:14" ht="18.75" x14ac:dyDescent="0.3">
      <c r="C35" s="10"/>
      <c r="D35" s="10"/>
      <c r="E35" s="10"/>
      <c r="F35" s="10"/>
      <c r="G35" s="10"/>
      <c r="H35" s="10"/>
    </row>
    <row r="36" spans="3:14" ht="18.75" x14ac:dyDescent="0.3">
      <c r="C36" s="10"/>
      <c r="D36" s="10" t="s">
        <v>63</v>
      </c>
      <c r="E36" s="10"/>
      <c r="F36" s="14">
        <v>1921147.2</v>
      </c>
      <c r="G36" s="13">
        <f t="shared" si="2"/>
        <v>576344.15999999992</v>
      </c>
      <c r="H36" s="13">
        <f t="shared" si="3"/>
        <v>1344803.0399999998</v>
      </c>
      <c r="N36" s="25"/>
    </row>
    <row r="37" spans="3:14" ht="18.75" x14ac:dyDescent="0.3">
      <c r="C37" s="10"/>
      <c r="D37" s="10"/>
      <c r="E37" s="10"/>
      <c r="F37" s="10"/>
      <c r="G37" s="10"/>
      <c r="H37" s="10"/>
    </row>
    <row r="38" spans="3:14" ht="18.75" x14ac:dyDescent="0.3">
      <c r="C38" s="10"/>
      <c r="D38" s="13" t="s">
        <v>64</v>
      </c>
      <c r="E38" s="10"/>
      <c r="F38" s="14">
        <f>SUM(F13+F14+F32+F34+F36)</f>
        <v>4469612.9976000004</v>
      </c>
      <c r="G38" s="14">
        <f>SUM(G13+G14+G32+G34+G36)</f>
        <v>1340883.89928</v>
      </c>
      <c r="H38" s="13">
        <f>SUM(H13+H14+H32+H34+H36)</f>
        <v>3128729.0983199999</v>
      </c>
    </row>
    <row r="39" spans="3:14" ht="18.75" x14ac:dyDescent="0.3">
      <c r="C39" s="17"/>
      <c r="D39" s="21"/>
      <c r="E39" s="17"/>
      <c r="F39" s="22"/>
      <c r="G39" s="22"/>
      <c r="H39" s="21"/>
    </row>
    <row r="40" spans="3:14" ht="18.75" x14ac:dyDescent="0.3">
      <c r="C40" s="17"/>
      <c r="D40" s="51"/>
      <c r="E40" s="17"/>
      <c r="F40" s="51"/>
      <c r="G40" s="17"/>
      <c r="H40" s="17"/>
    </row>
    <row r="41" spans="3:14" ht="18.75" x14ac:dyDescent="0.3">
      <c r="C41" s="17"/>
      <c r="D41" s="17"/>
      <c r="E41" s="17"/>
      <c r="F41" s="17"/>
      <c r="G41" s="17"/>
      <c r="H41" s="17"/>
    </row>
    <row r="42" spans="3:14" ht="15.75" x14ac:dyDescent="0.25">
      <c r="D42" s="51" t="s">
        <v>243</v>
      </c>
      <c r="E42" s="222" t="s">
        <v>244</v>
      </c>
      <c r="F42" s="222"/>
    </row>
    <row r="45" spans="3:14" ht="15.75" x14ac:dyDescent="0.25">
      <c r="D45" s="51" t="s">
        <v>245</v>
      </c>
      <c r="E45" s="222" t="s">
        <v>246</v>
      </c>
      <c r="F45" s="222"/>
    </row>
  </sheetData>
  <mergeCells count="7">
    <mergeCell ref="D25:G25"/>
    <mergeCell ref="E45:F45"/>
    <mergeCell ref="E42:F42"/>
    <mergeCell ref="C3:H3"/>
    <mergeCell ref="K3:P3"/>
    <mergeCell ref="D22:G22"/>
    <mergeCell ref="D23:G23"/>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8:O29"/>
  <sheetViews>
    <sheetView tabSelected="1" topLeftCell="A16" workbookViewId="0">
      <selection activeCell="J24" sqref="J24"/>
    </sheetView>
  </sheetViews>
  <sheetFormatPr defaultRowHeight="12.75" x14ac:dyDescent="0.2"/>
  <cols>
    <col min="1" max="1" width="40" customWidth="1"/>
    <col min="2" max="2" width="17.140625" customWidth="1"/>
    <col min="3" max="3" width="13.5703125" customWidth="1"/>
    <col min="4" max="4" width="15.5703125" customWidth="1"/>
    <col min="5" max="5" width="14.5703125" customWidth="1"/>
    <col min="6" max="6" width="23.85546875" customWidth="1"/>
    <col min="7" max="7" width="15.140625" customWidth="1"/>
    <col min="8" max="8" width="17.85546875" customWidth="1"/>
    <col min="9" max="9" width="17.5703125" customWidth="1"/>
    <col min="15" max="15" width="11.7109375" bestFit="1" customWidth="1"/>
  </cols>
  <sheetData>
    <row r="8" spans="1:15" ht="48.75" customHeight="1" x14ac:dyDescent="0.25">
      <c r="A8" s="229" t="s">
        <v>39</v>
      </c>
      <c r="B8" s="225" t="s">
        <v>105</v>
      </c>
      <c r="C8" s="226"/>
      <c r="D8" s="227"/>
      <c r="E8" s="227"/>
      <c r="F8" s="227"/>
      <c r="G8" s="227"/>
      <c r="H8" s="227"/>
      <c r="I8" s="228"/>
    </row>
    <row r="9" spans="1:15" ht="34.5" customHeight="1" x14ac:dyDescent="0.25">
      <c r="A9" s="230"/>
      <c r="B9" s="9" t="s">
        <v>31</v>
      </c>
      <c r="C9" s="5" t="s">
        <v>32</v>
      </c>
      <c r="D9" s="9" t="s">
        <v>33</v>
      </c>
      <c r="E9" s="9" t="s">
        <v>34</v>
      </c>
      <c r="F9" s="9" t="s">
        <v>31</v>
      </c>
      <c r="G9" s="5" t="s">
        <v>32</v>
      </c>
      <c r="H9" s="9" t="s">
        <v>33</v>
      </c>
      <c r="I9" s="9" t="s">
        <v>34</v>
      </c>
    </row>
    <row r="10" spans="1:15" ht="78.75" x14ac:dyDescent="0.25">
      <c r="A10" s="9" t="s">
        <v>113</v>
      </c>
      <c r="B10" s="29" t="s">
        <v>70</v>
      </c>
      <c r="C10" s="30" t="s">
        <v>107</v>
      </c>
      <c r="D10" s="30" t="s">
        <v>108</v>
      </c>
      <c r="E10" s="29" t="s">
        <v>109</v>
      </c>
      <c r="F10" s="29" t="s">
        <v>71</v>
      </c>
      <c r="G10" s="30" t="s">
        <v>110</v>
      </c>
      <c r="H10" s="30" t="s">
        <v>111</v>
      </c>
      <c r="I10" s="29" t="s">
        <v>112</v>
      </c>
    </row>
    <row r="11" spans="1:15" ht="16.5" thickBot="1" x14ac:dyDescent="0.3">
      <c r="A11" s="6" t="s">
        <v>35</v>
      </c>
      <c r="B11" s="2">
        <v>16344</v>
      </c>
      <c r="C11" s="3">
        <v>115.43</v>
      </c>
      <c r="D11" s="3">
        <f>SUM(C11*2.1)</f>
        <v>242.40300000000002</v>
      </c>
      <c r="E11" s="3">
        <f>SUM(D11/12)</f>
        <v>20.20025</v>
      </c>
      <c r="F11" s="2">
        <v>16344</v>
      </c>
      <c r="G11" s="3">
        <v>115.43</v>
      </c>
      <c r="H11" s="3">
        <f>SUM(G11*2.08)</f>
        <v>240.09440000000004</v>
      </c>
      <c r="I11" s="3">
        <f>SUM(H11/12)</f>
        <v>20.007866666666668</v>
      </c>
      <c r="N11" s="26">
        <v>1811</v>
      </c>
      <c r="O11" s="26" t="s">
        <v>68</v>
      </c>
    </row>
    <row r="12" spans="1:15" ht="16.5" thickBot="1" x14ac:dyDescent="0.3">
      <c r="A12" s="6" t="s">
        <v>36</v>
      </c>
      <c r="B12" s="2">
        <v>16344</v>
      </c>
      <c r="C12" s="3">
        <v>253.26</v>
      </c>
      <c r="D12" s="3">
        <f>SUM(C12*2.1)</f>
        <v>531.846</v>
      </c>
      <c r="E12" s="3">
        <f>SUM(D12/12)</f>
        <v>44.320500000000003</v>
      </c>
      <c r="F12" s="2">
        <v>16344</v>
      </c>
      <c r="G12" s="3">
        <v>253.26</v>
      </c>
      <c r="H12" s="3">
        <f>SUM(G12*2.08)</f>
        <v>526.7808</v>
      </c>
      <c r="I12" s="3">
        <f>SUM(H12/12)</f>
        <v>43.898400000000002</v>
      </c>
      <c r="N12" s="26">
        <v>14283</v>
      </c>
      <c r="O12" s="26" t="s">
        <v>69</v>
      </c>
    </row>
    <row r="13" spans="1:15" ht="16.5" thickBot="1" x14ac:dyDescent="0.3">
      <c r="A13" s="7" t="s">
        <v>37</v>
      </c>
      <c r="B13" s="2">
        <v>16344</v>
      </c>
      <c r="C13" s="3">
        <v>180.3</v>
      </c>
      <c r="D13" s="3">
        <f>SUM(C13*2.1)</f>
        <v>378.63000000000005</v>
      </c>
      <c r="E13" s="3">
        <f>SUM(D13/12)</f>
        <v>31.552500000000006</v>
      </c>
      <c r="F13" s="2">
        <v>16344</v>
      </c>
      <c r="G13" s="3">
        <v>180.3</v>
      </c>
      <c r="H13" s="3">
        <f>SUM(G13*2.08)</f>
        <v>375.02400000000006</v>
      </c>
      <c r="I13" s="3">
        <f>SUM(H13/12)</f>
        <v>31.252000000000006</v>
      </c>
    </row>
    <row r="14" spans="1:15" ht="48" thickBot="1" x14ac:dyDescent="0.3">
      <c r="A14" s="8" t="s">
        <v>38</v>
      </c>
      <c r="B14" s="4"/>
      <c r="C14" s="28">
        <f t="shared" ref="C14:H14" si="0">C11+C12+C13</f>
        <v>548.99</v>
      </c>
      <c r="D14" s="28">
        <f t="shared" si="0"/>
        <v>1152.8790000000001</v>
      </c>
      <c r="E14" s="28">
        <f>E11+E12+E13</f>
        <v>96.073250000000016</v>
      </c>
      <c r="F14" s="28"/>
      <c r="G14" s="28">
        <f t="shared" si="0"/>
        <v>548.99</v>
      </c>
      <c r="H14" s="28">
        <f t="shared" si="0"/>
        <v>1141.8992000000001</v>
      </c>
      <c r="I14" s="28">
        <v>95.14</v>
      </c>
      <c r="J14" s="135"/>
    </row>
    <row r="15" spans="1:15" ht="15.75" x14ac:dyDescent="0.25">
      <c r="A15" s="1"/>
      <c r="B15" s="1"/>
      <c r="C15" s="76"/>
      <c r="D15" s="1"/>
      <c r="E15" s="1"/>
      <c r="F15" s="1"/>
      <c r="G15" s="1"/>
      <c r="H15" s="1"/>
      <c r="I15" s="1"/>
    </row>
    <row r="18" spans="1:9" ht="30" customHeight="1" x14ac:dyDescent="0.25">
      <c r="A18" s="229" t="s">
        <v>39</v>
      </c>
      <c r="B18" s="225" t="s">
        <v>106</v>
      </c>
      <c r="C18" s="226"/>
      <c r="D18" s="227"/>
      <c r="E18" s="227"/>
      <c r="F18" s="227"/>
      <c r="G18" s="227"/>
      <c r="H18" s="227"/>
      <c r="I18" s="228"/>
    </row>
    <row r="19" spans="1:9" ht="31.5" x14ac:dyDescent="0.25">
      <c r="A19" s="230"/>
      <c r="B19" s="9" t="s">
        <v>31</v>
      </c>
      <c r="C19" s="5" t="s">
        <v>32</v>
      </c>
      <c r="D19" s="9" t="s">
        <v>33</v>
      </c>
      <c r="E19" s="9" t="s">
        <v>34</v>
      </c>
      <c r="F19" s="9" t="s">
        <v>31</v>
      </c>
      <c r="G19" s="5" t="s">
        <v>32</v>
      </c>
      <c r="H19" s="9" t="s">
        <v>33</v>
      </c>
      <c r="I19" s="9" t="s">
        <v>34</v>
      </c>
    </row>
    <row r="20" spans="1:9" ht="78.75" x14ac:dyDescent="0.25">
      <c r="A20" s="9" t="s">
        <v>113</v>
      </c>
      <c r="B20" s="29" t="s">
        <v>70</v>
      </c>
      <c r="C20" s="30" t="s">
        <v>107</v>
      </c>
      <c r="D20" s="30" t="s">
        <v>108</v>
      </c>
      <c r="E20" s="29" t="s">
        <v>109</v>
      </c>
      <c r="F20" s="29" t="s">
        <v>71</v>
      </c>
      <c r="G20" s="30" t="s">
        <v>110</v>
      </c>
      <c r="H20" s="30" t="s">
        <v>111</v>
      </c>
      <c r="I20" s="29" t="s">
        <v>112</v>
      </c>
    </row>
    <row r="21" spans="1:9" ht="16.5" thickBot="1" x14ac:dyDescent="0.3">
      <c r="A21" s="6" t="s">
        <v>35</v>
      </c>
      <c r="B21" s="2">
        <v>16344</v>
      </c>
      <c r="C21" s="3">
        <v>24.44</v>
      </c>
      <c r="D21" s="3">
        <v>51.33</v>
      </c>
      <c r="E21" s="3">
        <f>SUM(D21/12)</f>
        <v>4.2774999999999999</v>
      </c>
      <c r="F21" s="2">
        <v>16344</v>
      </c>
      <c r="G21" s="3">
        <v>24.44</v>
      </c>
      <c r="H21" s="3">
        <v>50.84</v>
      </c>
      <c r="I21" s="3">
        <v>4.2300000000000004</v>
      </c>
    </row>
    <row r="22" spans="1:9" ht="16.5" thickBot="1" x14ac:dyDescent="0.3">
      <c r="A22" s="6" t="s">
        <v>36</v>
      </c>
      <c r="B22" s="2">
        <v>16344</v>
      </c>
      <c r="C22" s="3">
        <v>57.07</v>
      </c>
      <c r="D22" s="3">
        <f>SUM(C22*2.1)</f>
        <v>119.84700000000001</v>
      </c>
      <c r="E22" s="3">
        <f>SUM(D22/12)</f>
        <v>9.9872500000000013</v>
      </c>
      <c r="F22" s="2">
        <v>16344</v>
      </c>
      <c r="G22" s="3">
        <v>57.07</v>
      </c>
      <c r="H22" s="3">
        <f>SUM(G22*2.08)</f>
        <v>118.7056</v>
      </c>
      <c r="I22" s="3">
        <f>SUM(H22/12)</f>
        <v>9.8921333333333337</v>
      </c>
    </row>
    <row r="23" spans="1:9" ht="16.5" thickBot="1" x14ac:dyDescent="0.3">
      <c r="A23" s="7" t="s">
        <v>37</v>
      </c>
      <c r="B23" s="2">
        <v>16344</v>
      </c>
      <c r="C23" s="3">
        <v>32.18</v>
      </c>
      <c r="D23" s="3">
        <f>SUM(C23*2.1)</f>
        <v>67.578000000000003</v>
      </c>
      <c r="E23" s="3">
        <f>SUM(D23/12)</f>
        <v>5.6315</v>
      </c>
      <c r="F23" s="2">
        <v>16344</v>
      </c>
      <c r="G23" s="3">
        <v>32.18</v>
      </c>
      <c r="H23" s="3">
        <f>SUM(G23*2.08)</f>
        <v>66.934399999999997</v>
      </c>
      <c r="I23" s="3">
        <f>SUM(H23/12)</f>
        <v>5.5778666666666661</v>
      </c>
    </row>
    <row r="24" spans="1:9" ht="48" thickBot="1" x14ac:dyDescent="0.3">
      <c r="A24" s="8" t="s">
        <v>38</v>
      </c>
      <c r="B24" s="4"/>
      <c r="C24" s="77">
        <v>113.7</v>
      </c>
      <c r="D24" s="28">
        <f t="shared" ref="D24:E24" si="1">D21+D22+D23</f>
        <v>238.75500000000002</v>
      </c>
      <c r="E24" s="28">
        <f t="shared" si="1"/>
        <v>19.896250000000002</v>
      </c>
      <c r="F24" s="28"/>
      <c r="G24" s="77">
        <v>113.7</v>
      </c>
      <c r="H24" s="28">
        <f t="shared" ref="H24" si="2">H21+H22+H23</f>
        <v>236.48000000000002</v>
      </c>
      <c r="I24" s="28">
        <v>19.7</v>
      </c>
    </row>
    <row r="25" spans="1:9" ht="15.75" x14ac:dyDescent="0.25">
      <c r="A25" s="1"/>
      <c r="B25" s="1"/>
      <c r="C25" s="76"/>
      <c r="D25" s="1"/>
      <c r="E25" s="1"/>
      <c r="F25" s="1"/>
      <c r="G25" s="1"/>
      <c r="H25" s="1"/>
      <c r="I25" s="1"/>
    </row>
    <row r="27" spans="1:9" x14ac:dyDescent="0.2">
      <c r="B27" s="224" t="s">
        <v>243</v>
      </c>
      <c r="C27" s="224"/>
      <c r="F27" t="s">
        <v>244</v>
      </c>
    </row>
    <row r="29" spans="1:9" x14ac:dyDescent="0.2">
      <c r="B29" s="224" t="s">
        <v>245</v>
      </c>
      <c r="C29" s="224"/>
      <c r="F29" t="s">
        <v>246</v>
      </c>
    </row>
  </sheetData>
  <mergeCells count="6">
    <mergeCell ref="B29:C29"/>
    <mergeCell ref="B8:I8"/>
    <mergeCell ref="A8:A9"/>
    <mergeCell ref="A18:A19"/>
    <mergeCell ref="B18:I18"/>
    <mergeCell ref="B27:C27"/>
  </mergeCells>
  <pageMargins left="0.70866141732283472" right="0.70866141732283472" top="0.74803149606299213" bottom="0.74803149606299213" header="0.31496062992125984" footer="0.31496062992125984"/>
  <pageSetup paperSize="9" scale="7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УПРАВ_ТАРИФ _01_05_2025 (2)</vt:lpstr>
      <vt:lpstr>ВИТРАТИ 2025заміна</vt:lpstr>
      <vt:lpstr>МАРШРУТИ_ФАКТ 2025 (2)</vt:lpstr>
      <vt:lpstr>ЗАРОБІТНА_ПЛАТА</vt:lpstr>
      <vt:lpstr>СТРУКТУРА_ТАРИФУ 2025</vt:lpstr>
      <vt:lpstr>ПРОГНОЗ_ТАРИФИ 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2025-04-16T11:03:04Z</cp:lastPrinted>
  <dcterms:created xsi:type="dcterms:W3CDTF">2013-07-23T05:10:27Z</dcterms:created>
  <dcterms:modified xsi:type="dcterms:W3CDTF">2025-04-16T13:32:15Z</dcterms:modified>
</cp:coreProperties>
</file>